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7\"/>
    </mc:Choice>
  </mc:AlternateContent>
  <xr:revisionPtr revIDLastSave="0" documentId="13_ncr:1_{1B0E8CFC-0B14-4531-BF51-B43A1422C627}" xr6:coauthVersionLast="40" xr6:coauthVersionMax="40" xr10:uidLastSave="{00000000-0000-0000-0000-000000000000}"/>
  <bookViews>
    <workbookView xWindow="840" yWindow="780" windowWidth="14480" windowHeight="7430" firstSheet="1" activeTab="1" xr2:uid="{00000000-000D-0000-FFFF-FFFF00000000}"/>
  </bookViews>
  <sheets>
    <sheet name="Scenario Summary" sheetId="8" r:id="rId1"/>
    <sheet name="Exercise 7.1" sheetId="4" r:id="rId2"/>
    <sheet name="Exercise 7.2" sheetId="6" r:id="rId3"/>
    <sheet name="Exercise 7.3" sheetId="7" r:id="rId4"/>
  </sheets>
  <definedNames>
    <definedName name="_xlnm._FilterDatabase" localSheetId="3" hidden="1">'Exercise 7.3'!$T$5:$T$64</definedName>
    <definedName name="solver_adj" localSheetId="2" hidden="1">'Exercise 7.2'!$B$3</definedName>
    <definedName name="solver_adj" localSheetId="3" hidden="1">'Exercise 7.3'!$B$1:$B$3</definedName>
    <definedName name="solver_cvg" localSheetId="2" hidden="1">0.0001</definedName>
    <definedName name="solver_cvg" localSheetId="3" hidden="1">0.0001</definedName>
    <definedName name="solver_drv" localSheetId="2" hidden="1">1</definedName>
    <definedName name="solver_drv" localSheetId="3" hidden="1">2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st" localSheetId="2" hidden="1">1</definedName>
    <definedName name="solver_est" localSheetId="3" hidden="1">1</definedName>
    <definedName name="solver_itr" localSheetId="2" hidden="1">2147483647</definedName>
    <definedName name="solver_itr" localSheetId="3" hidden="1">2147483647</definedName>
    <definedName name="solver_lhs1" localSheetId="2" hidden="1">'Exercise 7.2'!$B$3</definedName>
    <definedName name="solver_lhs1" localSheetId="3" hidden="1">'Exercise 7.3'!$B$1:$B$3</definedName>
    <definedName name="solver_lhs2" localSheetId="2" hidden="1">'Exercise 7.2'!$B$3</definedName>
    <definedName name="solver_lhs2" localSheetId="3" hidden="1">'Exercise 7.3'!$B$1:$B$3</definedName>
    <definedName name="solver_lhs3" localSheetId="3" hidden="1">'Exercise 7.3'!$B$2</definedName>
    <definedName name="solver_lhs4" localSheetId="3" hidden="1">'Exercise 7.3'!$B$2</definedName>
    <definedName name="solver_mip" localSheetId="2" hidden="1">2147483647</definedName>
    <definedName name="solver_mip" localSheetId="3" hidden="1">2147483647</definedName>
    <definedName name="solver_mni" localSheetId="2" hidden="1">30</definedName>
    <definedName name="solver_mni" localSheetId="3" hidden="1">30</definedName>
    <definedName name="solver_mrt" localSheetId="2" hidden="1">0.075</definedName>
    <definedName name="solver_mrt" localSheetId="3" hidden="1">0.075</definedName>
    <definedName name="solver_msl" localSheetId="2" hidden="1">2</definedName>
    <definedName name="solver_msl" localSheetId="3" hidden="1">2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od" localSheetId="2" hidden="1">2147483647</definedName>
    <definedName name="solver_nod" localSheetId="3" hidden="1">2147483647</definedName>
    <definedName name="solver_num" localSheetId="1" hidden="1">0</definedName>
    <definedName name="solver_num" localSheetId="2" hidden="1">2</definedName>
    <definedName name="solver_num" localSheetId="3" hidden="1">2</definedName>
    <definedName name="solver_nwt" localSheetId="2" hidden="1">1</definedName>
    <definedName name="solver_nwt" localSheetId="3" hidden="1">1</definedName>
    <definedName name="solver_opt" localSheetId="1" hidden="1">'Exercise 7.1'!$C$29</definedName>
    <definedName name="solver_opt" localSheetId="2" hidden="1">'Exercise 7.2'!$M$11</definedName>
    <definedName name="solver_opt" localSheetId="3" hidden="1">'Exercise 7.3'!$I$1</definedName>
    <definedName name="solver_pre" localSheetId="2" hidden="1">0.000001</definedName>
    <definedName name="solver_pre" localSheetId="3" hidden="1">0.000001</definedName>
    <definedName name="solver_rbv" localSheetId="2" hidden="1">1</definedName>
    <definedName name="solver_rbv" localSheetId="3" hidden="1">2</definedName>
    <definedName name="solver_rel1" localSheetId="2" hidden="1">1</definedName>
    <definedName name="solver_rel1" localSheetId="3" hidden="1">1</definedName>
    <definedName name="solver_rel2" localSheetId="2" hidden="1">3</definedName>
    <definedName name="solver_rel2" localSheetId="3" hidden="1">3</definedName>
    <definedName name="solver_rel3" localSheetId="3" hidden="1">3</definedName>
    <definedName name="solver_rel4" localSheetId="3" hidden="1">3</definedName>
    <definedName name="solver_rhs1" localSheetId="2" hidden="1">1</definedName>
    <definedName name="solver_rhs1" localSheetId="3" hidden="1">0.9999</definedName>
    <definedName name="solver_rhs2" localSheetId="2" hidden="1">0</definedName>
    <definedName name="solver_rhs2" localSheetId="3" hidden="1">0.8</definedName>
    <definedName name="solver_rhs3" localSheetId="3" hidden="1">'Exercise 7.3'!$B$3</definedName>
    <definedName name="solver_rhs4" localSheetId="3" hidden="1">'Exercise 7.3'!$B$3</definedName>
    <definedName name="solver_rlx" localSheetId="2" hidden="1">2</definedName>
    <definedName name="solver_rlx" localSheetId="3" hidden="1">2</definedName>
    <definedName name="solver_rsd" localSheetId="2" hidden="1">0</definedName>
    <definedName name="solver_rsd" localSheetId="3" hidden="1">0</definedName>
    <definedName name="solver_scl" localSheetId="2" hidden="1">1</definedName>
    <definedName name="solver_scl" localSheetId="3" hidden="1">2</definedName>
    <definedName name="solver_sho" localSheetId="2" hidden="1">2</definedName>
    <definedName name="solver_sho" localSheetId="3" hidden="1">2</definedName>
    <definedName name="solver_ssz" localSheetId="2" hidden="1">100</definedName>
    <definedName name="solver_ssz" localSheetId="3" hidden="1">100</definedName>
    <definedName name="solver_tim" localSheetId="2" hidden="1">2147483647</definedName>
    <definedName name="solver_tim" localSheetId="3" hidden="1">2147483647</definedName>
    <definedName name="solver_tol" localSheetId="2" hidden="1">0.01</definedName>
    <definedName name="solver_tol" localSheetId="3" hidden="1">0.01</definedName>
    <definedName name="solver_typ" localSheetId="1" hidden="1">1</definedName>
    <definedName name="solver_typ" localSheetId="2" hidden="1">2</definedName>
    <definedName name="solver_typ" localSheetId="3" hidden="1">2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1" hidden="1">3</definedName>
    <definedName name="solver_ver" localSheetId="2" hidden="1">3</definedName>
    <definedName name="solver_ver" localSheetId="3" hidden="1">3</definedName>
  </definedNames>
  <calcPr calcId="191029"/>
</workbook>
</file>

<file path=xl/calcChain.xml><?xml version="1.0" encoding="utf-8"?>
<calcChain xmlns="http://schemas.openxmlformats.org/spreadsheetml/2006/main">
  <c r="S64" i="7" l="1"/>
  <c r="R64" i="7"/>
  <c r="Q64" i="7"/>
  <c r="S63" i="7"/>
  <c r="R63" i="7"/>
  <c r="Q63" i="7"/>
  <c r="S62" i="7"/>
  <c r="R62" i="7"/>
  <c r="Q62" i="7"/>
  <c r="U62" i="7" s="1"/>
  <c r="S61" i="7"/>
  <c r="R61" i="7"/>
  <c r="Q61" i="7"/>
  <c r="U61" i="7" s="1"/>
  <c r="S60" i="7"/>
  <c r="R60" i="7"/>
  <c r="Q60" i="7"/>
  <c r="U60" i="7" s="1"/>
  <c r="S59" i="7"/>
  <c r="R59" i="7"/>
  <c r="Q59" i="7"/>
  <c r="S58" i="7"/>
  <c r="R58" i="7"/>
  <c r="Q58" i="7"/>
  <c r="S57" i="7"/>
  <c r="R57" i="7"/>
  <c r="Q57" i="7"/>
  <c r="S56" i="7"/>
  <c r="R56" i="7"/>
  <c r="Q56" i="7"/>
  <c r="S55" i="7"/>
  <c r="R55" i="7"/>
  <c r="Q55" i="7"/>
  <c r="S54" i="7"/>
  <c r="R54" i="7"/>
  <c r="Q54" i="7"/>
  <c r="U54" i="7" s="1"/>
  <c r="S53" i="7"/>
  <c r="R53" i="7"/>
  <c r="Q53" i="7"/>
  <c r="U53" i="7" s="1"/>
  <c r="S52" i="7"/>
  <c r="R52" i="7"/>
  <c r="Q52" i="7"/>
  <c r="U52" i="7" s="1"/>
  <c r="S51" i="7"/>
  <c r="R51" i="7"/>
  <c r="Q51" i="7"/>
  <c r="U51" i="7" s="1"/>
  <c r="S50" i="7"/>
  <c r="R50" i="7"/>
  <c r="Q50" i="7"/>
  <c r="U50" i="7" s="1"/>
  <c r="S49" i="7"/>
  <c r="R49" i="7"/>
  <c r="Q49" i="7"/>
  <c r="S48" i="7"/>
  <c r="R48" i="7"/>
  <c r="Q48" i="7"/>
  <c r="U48" i="7" s="1"/>
  <c r="S47" i="7"/>
  <c r="R47" i="7"/>
  <c r="Q47" i="7"/>
  <c r="U47" i="7" s="1"/>
  <c r="S46" i="7"/>
  <c r="R46" i="7"/>
  <c r="Q46" i="7"/>
  <c r="U46" i="7" s="1"/>
  <c r="S45" i="7"/>
  <c r="R45" i="7"/>
  <c r="Q45" i="7"/>
  <c r="S44" i="7"/>
  <c r="R44" i="7"/>
  <c r="Q44" i="7"/>
  <c r="S43" i="7"/>
  <c r="R43" i="7"/>
  <c r="Q43" i="7"/>
  <c r="S42" i="7"/>
  <c r="R42" i="7"/>
  <c r="Q42" i="7"/>
  <c r="U42" i="7" s="1"/>
  <c r="S41" i="7"/>
  <c r="R41" i="7"/>
  <c r="Q41" i="7"/>
  <c r="S40" i="7"/>
  <c r="R40" i="7"/>
  <c r="Q40" i="7"/>
  <c r="S39" i="7"/>
  <c r="R39" i="7"/>
  <c r="Q39" i="7"/>
  <c r="S38" i="7"/>
  <c r="R38" i="7"/>
  <c r="Q38" i="7"/>
  <c r="S37" i="7"/>
  <c r="R37" i="7"/>
  <c r="Q37" i="7"/>
  <c r="U37" i="7" s="1"/>
  <c r="S36" i="7"/>
  <c r="R36" i="7"/>
  <c r="Q36" i="7"/>
  <c r="S35" i="7"/>
  <c r="R35" i="7"/>
  <c r="Q35" i="7"/>
  <c r="S34" i="7"/>
  <c r="R34" i="7"/>
  <c r="Q34" i="7"/>
  <c r="S33" i="7"/>
  <c r="R33" i="7"/>
  <c r="Q33" i="7"/>
  <c r="S32" i="7"/>
  <c r="R32" i="7"/>
  <c r="Q32" i="7"/>
  <c r="S31" i="7"/>
  <c r="R31" i="7"/>
  <c r="Q31" i="7"/>
  <c r="U31" i="7" s="1"/>
  <c r="S30" i="7"/>
  <c r="R30" i="7"/>
  <c r="Q30" i="7"/>
  <c r="S29" i="7"/>
  <c r="R29" i="7"/>
  <c r="Q29" i="7"/>
  <c r="U29" i="7" s="1"/>
  <c r="S28" i="7"/>
  <c r="R28" i="7"/>
  <c r="Q28" i="7"/>
  <c r="S27" i="7"/>
  <c r="R27" i="7"/>
  <c r="Q27" i="7"/>
  <c r="U27" i="7" s="1"/>
  <c r="S26" i="7"/>
  <c r="R26" i="7"/>
  <c r="Q26" i="7"/>
  <c r="U26" i="7" s="1"/>
  <c r="S25" i="7"/>
  <c r="R25" i="7"/>
  <c r="Q25" i="7"/>
  <c r="S24" i="7"/>
  <c r="R24" i="7"/>
  <c r="Q24" i="7"/>
  <c r="S23" i="7"/>
  <c r="R23" i="7"/>
  <c r="Q23" i="7"/>
  <c r="U23" i="7" s="1"/>
  <c r="S22" i="7"/>
  <c r="R22" i="7"/>
  <c r="Q22" i="7"/>
  <c r="U22" i="7" s="1"/>
  <c r="S21" i="7"/>
  <c r="R21" i="7"/>
  <c r="Q21" i="7"/>
  <c r="U21" i="7" s="1"/>
  <c r="S20" i="7"/>
  <c r="R20" i="7"/>
  <c r="Q20" i="7"/>
  <c r="U20" i="7" s="1"/>
  <c r="S19" i="7"/>
  <c r="R19" i="7"/>
  <c r="Q19" i="7"/>
  <c r="U19" i="7" s="1"/>
  <c r="S18" i="7"/>
  <c r="R18" i="7"/>
  <c r="Q18" i="7"/>
  <c r="U18" i="7" s="1"/>
  <c r="S17" i="7"/>
  <c r="R17" i="7"/>
  <c r="Q17" i="7"/>
  <c r="U17" i="7" s="1"/>
  <c r="S16" i="7"/>
  <c r="R16" i="7"/>
  <c r="Q16" i="7"/>
  <c r="U16" i="7" s="1"/>
  <c r="S15" i="7"/>
  <c r="R15" i="7"/>
  <c r="Q15" i="7"/>
  <c r="U15" i="7" s="1"/>
  <c r="S14" i="7"/>
  <c r="R14" i="7"/>
  <c r="Q14" i="7"/>
  <c r="U14" i="7" s="1"/>
  <c r="S13" i="7"/>
  <c r="R13" i="7"/>
  <c r="Q13" i="7"/>
  <c r="U13" i="7" s="1"/>
  <c r="S12" i="7"/>
  <c r="R12" i="7"/>
  <c r="Q12" i="7"/>
  <c r="U12" i="7" s="1"/>
  <c r="S11" i="7"/>
  <c r="R11" i="7"/>
  <c r="Q11" i="7"/>
  <c r="U11" i="7" s="1"/>
  <c r="S10" i="7"/>
  <c r="R10" i="7"/>
  <c r="Q10" i="7"/>
  <c r="U10" i="7" s="1"/>
  <c r="S9" i="7"/>
  <c r="R9" i="7"/>
  <c r="Q9" i="7"/>
  <c r="S8" i="7"/>
  <c r="R8" i="7"/>
  <c r="Q8" i="7"/>
  <c r="S7" i="7"/>
  <c r="R7" i="7"/>
  <c r="Q7" i="7"/>
  <c r="U7" i="7" s="1"/>
  <c r="S6" i="7"/>
  <c r="R6" i="7"/>
  <c r="Q6" i="7"/>
  <c r="C11" i="6"/>
  <c r="D8" i="6"/>
  <c r="D11" i="6" s="1"/>
  <c r="T10" i="7" l="1"/>
  <c r="T14" i="7"/>
  <c r="T18" i="7"/>
  <c r="T22" i="7"/>
  <c r="T26" i="7"/>
  <c r="T30" i="7"/>
  <c r="T38" i="7"/>
  <c r="T46" i="7"/>
  <c r="T6" i="7"/>
  <c r="T34" i="7"/>
  <c r="T42" i="7"/>
  <c r="T50" i="7"/>
  <c r="T54" i="7"/>
  <c r="T58" i="7"/>
  <c r="T62" i="7"/>
  <c r="T13" i="7"/>
  <c r="T21" i="7"/>
  <c r="T7" i="7"/>
  <c r="T11" i="7"/>
  <c r="T15" i="7"/>
  <c r="T19" i="7"/>
  <c r="T23" i="7"/>
  <c r="T27" i="7"/>
  <c r="T31" i="7"/>
  <c r="T35" i="7"/>
  <c r="T39" i="7"/>
  <c r="T43" i="7"/>
  <c r="T47" i="7"/>
  <c r="T51" i="7"/>
  <c r="T55" i="7"/>
  <c r="T59" i="7"/>
  <c r="T63" i="7"/>
  <c r="T25" i="7"/>
  <c r="T29" i="7"/>
  <c r="T33" i="7"/>
  <c r="T37" i="7"/>
  <c r="T41" i="7"/>
  <c r="T45" i="7"/>
  <c r="T49" i="7"/>
  <c r="T53" i="7"/>
  <c r="T57" i="7"/>
  <c r="T61" i="7"/>
  <c r="T9" i="7"/>
  <c r="T17" i="7"/>
  <c r="T8" i="7"/>
  <c r="T12" i="7"/>
  <c r="T16" i="7"/>
  <c r="T20" i="7"/>
  <c r="T24" i="7"/>
  <c r="T28" i="7"/>
  <c r="T32" i="7"/>
  <c r="T36" i="7"/>
  <c r="T40" i="7"/>
  <c r="T44" i="7"/>
  <c r="T48" i="7"/>
  <c r="T52" i="7"/>
  <c r="T56" i="7"/>
  <c r="T60" i="7"/>
  <c r="T64" i="7"/>
  <c r="U6" i="7"/>
  <c r="Z6" i="7"/>
  <c r="U8" i="7"/>
  <c r="Z8" i="7"/>
  <c r="U9" i="7"/>
  <c r="Z9" i="7"/>
  <c r="U24" i="7"/>
  <c r="Z24" i="7"/>
  <c r="U25" i="7"/>
  <c r="Z25" i="7"/>
  <c r="U28" i="7"/>
  <c r="Z28" i="7"/>
  <c r="U30" i="7"/>
  <c r="Z30" i="7"/>
  <c r="U32" i="7"/>
  <c r="Z32" i="7"/>
  <c r="U33" i="7"/>
  <c r="Z33" i="7"/>
  <c r="U34" i="7"/>
  <c r="Z34" i="7"/>
  <c r="U35" i="7"/>
  <c r="Z35" i="7"/>
  <c r="U36" i="7"/>
  <c r="Z36" i="7"/>
  <c r="U38" i="7"/>
  <c r="Z38" i="7"/>
  <c r="U39" i="7"/>
  <c r="Z39" i="7"/>
  <c r="U40" i="7"/>
  <c r="Z40" i="7"/>
  <c r="U41" i="7"/>
  <c r="Z41" i="7"/>
  <c r="U43" i="7"/>
  <c r="Z43" i="7"/>
  <c r="U44" i="7"/>
  <c r="Z44" i="7"/>
  <c r="U45" i="7"/>
  <c r="Z45" i="7"/>
  <c r="U49" i="7"/>
  <c r="Z49" i="7"/>
  <c r="U55" i="7"/>
  <c r="Z55" i="7"/>
  <c r="Z56" i="7"/>
  <c r="U56" i="7"/>
  <c r="U57" i="7"/>
  <c r="Z57" i="7"/>
  <c r="U58" i="7"/>
  <c r="Z58" i="7"/>
  <c r="U59" i="7"/>
  <c r="Z59" i="7"/>
  <c r="U63" i="7"/>
  <c r="Z63" i="7"/>
  <c r="U64" i="7"/>
  <c r="Z64" i="7"/>
  <c r="E8" i="6"/>
  <c r="U66" i="7" l="1"/>
  <c r="V6" i="7" s="1"/>
  <c r="W6" i="7" s="1"/>
  <c r="E11" i="6"/>
  <c r="F8" i="6"/>
  <c r="X6" i="7" l="1"/>
  <c r="Y6" i="7" s="1"/>
  <c r="V7" i="7"/>
  <c r="W7" i="7" s="1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6" i="7"/>
  <c r="V27" i="7"/>
  <c r="V29" i="7"/>
  <c r="V31" i="7"/>
  <c r="V37" i="7"/>
  <c r="V42" i="7"/>
  <c r="V46" i="7"/>
  <c r="V47" i="7"/>
  <c r="V48" i="7"/>
  <c r="V50" i="7"/>
  <c r="V51" i="7"/>
  <c r="V52" i="7"/>
  <c r="V53" i="7"/>
  <c r="V54" i="7"/>
  <c r="V60" i="7"/>
  <c r="V61" i="7"/>
  <c r="V62" i="7"/>
  <c r="V8" i="7"/>
  <c r="V9" i="7"/>
  <c r="V24" i="7"/>
  <c r="V25" i="7"/>
  <c r="V28" i="7"/>
  <c r="V30" i="7"/>
  <c r="V32" i="7"/>
  <c r="V33" i="7"/>
  <c r="V34" i="7"/>
  <c r="V35" i="7"/>
  <c r="V36" i="7"/>
  <c r="V38" i="7"/>
  <c r="V39" i="7"/>
  <c r="V40" i="7"/>
  <c r="V41" i="7"/>
  <c r="V43" i="7"/>
  <c r="V44" i="7"/>
  <c r="V45" i="7"/>
  <c r="V49" i="7"/>
  <c r="V55" i="7"/>
  <c r="V56" i="7"/>
  <c r="V57" i="7"/>
  <c r="V58" i="7"/>
  <c r="V59" i="7"/>
  <c r="V63" i="7"/>
  <c r="V64" i="7"/>
  <c r="F11" i="6"/>
  <c r="G8" i="6"/>
  <c r="W8" i="7" l="1"/>
  <c r="X7" i="7"/>
  <c r="Y7" i="7" s="1"/>
  <c r="AA6" i="7"/>
  <c r="AB6" i="7" s="1"/>
  <c r="AC6" i="7" s="1"/>
  <c r="AD6" i="7"/>
  <c r="G11" i="6"/>
  <c r="H8" i="6"/>
  <c r="W9" i="7" l="1"/>
  <c r="X8" i="7"/>
  <c r="Y8" i="7" s="1"/>
  <c r="H11" i="6"/>
  <c r="I8" i="6"/>
  <c r="AA8" i="7" l="1"/>
  <c r="AB8" i="7" s="1"/>
  <c r="AC8" i="7" s="1"/>
  <c r="AD8" i="7"/>
  <c r="W10" i="7"/>
  <c r="X9" i="7"/>
  <c r="Y9" i="7" s="1"/>
  <c r="I11" i="6"/>
  <c r="J8" i="6"/>
  <c r="AA9" i="7" l="1"/>
  <c r="AB9" i="7" s="1"/>
  <c r="AC9" i="7" s="1"/>
  <c r="AD9" i="7"/>
  <c r="W11" i="7"/>
  <c r="X10" i="7"/>
  <c r="Y10" i="7" s="1"/>
  <c r="J11" i="6"/>
  <c r="K8" i="6"/>
  <c r="K11" i="6" s="1"/>
  <c r="M11" i="6" l="1"/>
  <c r="W12" i="7"/>
  <c r="X11" i="7"/>
  <c r="Y11" i="7" s="1"/>
  <c r="W13" i="7" l="1"/>
  <c r="X12" i="7"/>
  <c r="Y12" i="7" s="1"/>
  <c r="W14" i="7" l="1"/>
  <c r="X13" i="7"/>
  <c r="Y13" i="7" s="1"/>
  <c r="W15" i="7" l="1"/>
  <c r="X14" i="7"/>
  <c r="Y14" i="7" s="1"/>
  <c r="D12" i="4"/>
  <c r="C5" i="4"/>
  <c r="C7" i="4" s="1"/>
  <c r="D7" i="4" s="1"/>
  <c r="D13" i="4" l="1"/>
  <c r="W16" i="7"/>
  <c r="X15" i="7"/>
  <c r="Y15" i="7" s="1"/>
  <c r="W17" i="7" l="1"/>
  <c r="X16" i="7"/>
  <c r="Y16" i="7" s="1"/>
  <c r="W18" i="7" l="1"/>
  <c r="X17" i="7"/>
  <c r="Y17" i="7" s="1"/>
  <c r="W19" i="7" l="1"/>
  <c r="X18" i="7"/>
  <c r="Y18" i="7" s="1"/>
  <c r="W20" i="7" l="1"/>
  <c r="X19" i="7"/>
  <c r="Y19" i="7" s="1"/>
  <c r="W21" i="7" l="1"/>
  <c r="X20" i="7"/>
  <c r="Y20" i="7" s="1"/>
  <c r="W22" i="7" l="1"/>
  <c r="X21" i="7"/>
  <c r="Y21" i="7" s="1"/>
  <c r="W23" i="7" l="1"/>
  <c r="X22" i="7"/>
  <c r="Y22" i="7" s="1"/>
  <c r="W24" i="7" l="1"/>
  <c r="X23" i="7"/>
  <c r="Y23" i="7" s="1"/>
  <c r="W25" i="7" l="1"/>
  <c r="X24" i="7"/>
  <c r="Y24" i="7" s="1"/>
  <c r="AA24" i="7" l="1"/>
  <c r="AB24" i="7" s="1"/>
  <c r="AC24" i="7" s="1"/>
  <c r="AD24" i="7"/>
  <c r="W26" i="7"/>
  <c r="X25" i="7"/>
  <c r="Y25" i="7" s="1"/>
  <c r="AA25" i="7" l="1"/>
  <c r="AB25" i="7" s="1"/>
  <c r="AC25" i="7" s="1"/>
  <c r="AD25" i="7"/>
  <c r="W27" i="7"/>
  <c r="X26" i="7"/>
  <c r="Y26" i="7" s="1"/>
  <c r="W28" i="7" l="1"/>
  <c r="X27" i="7"/>
  <c r="Y27" i="7" s="1"/>
  <c r="W29" i="7" l="1"/>
  <c r="X28" i="7"/>
  <c r="Y28" i="7" s="1"/>
  <c r="AA28" i="7" l="1"/>
  <c r="AB28" i="7" s="1"/>
  <c r="AC28" i="7" s="1"/>
  <c r="AD28" i="7"/>
  <c r="W30" i="7"/>
  <c r="X29" i="7"/>
  <c r="Y29" i="7" s="1"/>
  <c r="W31" i="7" l="1"/>
  <c r="X30" i="7"/>
  <c r="Y30" i="7" s="1"/>
  <c r="AA30" i="7" l="1"/>
  <c r="AB30" i="7" s="1"/>
  <c r="AC30" i="7" s="1"/>
  <c r="AD30" i="7"/>
  <c r="W32" i="7"/>
  <c r="X31" i="7"/>
  <c r="Y31" i="7" s="1"/>
  <c r="W33" i="7" l="1"/>
  <c r="X32" i="7"/>
  <c r="Y32" i="7" s="1"/>
  <c r="AA32" i="7" l="1"/>
  <c r="AB32" i="7" s="1"/>
  <c r="AC32" i="7" s="1"/>
  <c r="AD32" i="7"/>
  <c r="W34" i="7"/>
  <c r="X33" i="7"/>
  <c r="Y33" i="7" s="1"/>
  <c r="AA33" i="7" l="1"/>
  <c r="AB33" i="7" s="1"/>
  <c r="AC33" i="7" s="1"/>
  <c r="AD33" i="7"/>
  <c r="W35" i="7"/>
  <c r="X34" i="7"/>
  <c r="Y34" i="7" s="1"/>
  <c r="AA34" i="7" l="1"/>
  <c r="AB34" i="7" s="1"/>
  <c r="AC34" i="7" s="1"/>
  <c r="AD34" i="7"/>
  <c r="W36" i="7"/>
  <c r="X35" i="7"/>
  <c r="Y35" i="7" s="1"/>
  <c r="AA35" i="7" l="1"/>
  <c r="AB35" i="7" s="1"/>
  <c r="AC35" i="7" s="1"/>
  <c r="AD35" i="7"/>
  <c r="W37" i="7"/>
  <c r="X36" i="7"/>
  <c r="Y36" i="7" s="1"/>
  <c r="AA36" i="7" l="1"/>
  <c r="AB36" i="7" s="1"/>
  <c r="AC36" i="7" s="1"/>
  <c r="AD36" i="7"/>
  <c r="W38" i="7"/>
  <c r="X37" i="7"/>
  <c r="Y37" i="7" s="1"/>
  <c r="W39" i="7" l="1"/>
  <c r="X38" i="7"/>
  <c r="Y38" i="7" s="1"/>
  <c r="AA38" i="7" l="1"/>
  <c r="AB38" i="7" s="1"/>
  <c r="AC38" i="7" s="1"/>
  <c r="AD38" i="7"/>
  <c r="W40" i="7"/>
  <c r="X39" i="7"/>
  <c r="Y39" i="7" s="1"/>
  <c r="AA39" i="7" l="1"/>
  <c r="AB39" i="7" s="1"/>
  <c r="AC39" i="7" s="1"/>
  <c r="AD39" i="7"/>
  <c r="W41" i="7"/>
  <c r="X40" i="7"/>
  <c r="Y40" i="7" s="1"/>
  <c r="AA40" i="7" l="1"/>
  <c r="AB40" i="7" s="1"/>
  <c r="AC40" i="7" s="1"/>
  <c r="AD40" i="7"/>
  <c r="W42" i="7"/>
  <c r="X41" i="7"/>
  <c r="Y41" i="7" s="1"/>
  <c r="AA41" i="7" l="1"/>
  <c r="AB41" i="7" s="1"/>
  <c r="AC41" i="7" s="1"/>
  <c r="AD41" i="7"/>
  <c r="W43" i="7"/>
  <c r="X42" i="7"/>
  <c r="Y42" i="7" s="1"/>
  <c r="W44" i="7" l="1"/>
  <c r="X43" i="7"/>
  <c r="Y43" i="7" s="1"/>
  <c r="AA43" i="7" l="1"/>
  <c r="AB43" i="7" s="1"/>
  <c r="AC43" i="7" s="1"/>
  <c r="AD43" i="7"/>
  <c r="W45" i="7"/>
  <c r="X44" i="7"/>
  <c r="Y44" i="7" s="1"/>
  <c r="AA44" i="7" l="1"/>
  <c r="AB44" i="7" s="1"/>
  <c r="AC44" i="7" s="1"/>
  <c r="AD44" i="7"/>
  <c r="W46" i="7"/>
  <c r="X45" i="7"/>
  <c r="Y45" i="7" s="1"/>
  <c r="AA45" i="7" l="1"/>
  <c r="AB45" i="7" s="1"/>
  <c r="AC45" i="7" s="1"/>
  <c r="AD45" i="7"/>
  <c r="W47" i="7"/>
  <c r="X46" i="7"/>
  <c r="Y46" i="7" s="1"/>
  <c r="W48" i="7" l="1"/>
  <c r="X47" i="7"/>
  <c r="Y47" i="7" s="1"/>
  <c r="W49" i="7" l="1"/>
  <c r="X48" i="7"/>
  <c r="Y48" i="7" s="1"/>
  <c r="W50" i="7" l="1"/>
  <c r="X49" i="7"/>
  <c r="Y49" i="7" s="1"/>
  <c r="AA49" i="7" l="1"/>
  <c r="AB49" i="7" s="1"/>
  <c r="AC49" i="7" s="1"/>
  <c r="AD49" i="7"/>
  <c r="W51" i="7"/>
  <c r="X50" i="7"/>
  <c r="Y50" i="7" s="1"/>
  <c r="W52" i="7" l="1"/>
  <c r="X51" i="7"/>
  <c r="Y51" i="7" s="1"/>
  <c r="W53" i="7" l="1"/>
  <c r="X52" i="7"/>
  <c r="Y52" i="7" s="1"/>
  <c r="W54" i="7" l="1"/>
  <c r="X53" i="7"/>
  <c r="Y53" i="7" s="1"/>
  <c r="W55" i="7" l="1"/>
  <c r="X54" i="7"/>
  <c r="Y54" i="7" s="1"/>
  <c r="W56" i="7" l="1"/>
  <c r="X55" i="7"/>
  <c r="Y55" i="7" s="1"/>
  <c r="AA55" i="7" l="1"/>
  <c r="AB55" i="7" s="1"/>
  <c r="AC55" i="7" s="1"/>
  <c r="AD55" i="7"/>
  <c r="W57" i="7"/>
  <c r="X56" i="7"/>
  <c r="Y56" i="7" s="1"/>
  <c r="AA56" i="7" l="1"/>
  <c r="AB56" i="7" s="1"/>
  <c r="AC56" i="7" s="1"/>
  <c r="AD56" i="7"/>
  <c r="W58" i="7"/>
  <c r="X57" i="7"/>
  <c r="Y57" i="7" s="1"/>
  <c r="AA57" i="7" l="1"/>
  <c r="AB57" i="7" s="1"/>
  <c r="AC57" i="7" s="1"/>
  <c r="AD57" i="7"/>
  <c r="W59" i="7"/>
  <c r="X58" i="7"/>
  <c r="Y58" i="7" s="1"/>
  <c r="AA58" i="7" l="1"/>
  <c r="AB58" i="7" s="1"/>
  <c r="AC58" i="7" s="1"/>
  <c r="AD58" i="7"/>
  <c r="W60" i="7"/>
  <c r="X59" i="7"/>
  <c r="Y59" i="7" s="1"/>
  <c r="AA59" i="7" l="1"/>
  <c r="AB59" i="7" s="1"/>
  <c r="AC59" i="7" s="1"/>
  <c r="AD59" i="7"/>
  <c r="W61" i="7"/>
  <c r="X60" i="7"/>
  <c r="Y60" i="7" s="1"/>
  <c r="W62" i="7" l="1"/>
  <c r="X61" i="7"/>
  <c r="Y61" i="7" s="1"/>
  <c r="W63" i="7" l="1"/>
  <c r="X62" i="7"/>
  <c r="Y62" i="7" s="1"/>
  <c r="W64" i="7" l="1"/>
  <c r="X64" i="7" s="1"/>
  <c r="Y64" i="7" s="1"/>
  <c r="X63" i="7"/>
  <c r="Y63" i="7" s="1"/>
  <c r="AA63" i="7" l="1"/>
  <c r="AB63" i="7" s="1"/>
  <c r="AC63" i="7" s="1"/>
  <c r="AD63" i="7"/>
  <c r="AA64" i="7"/>
  <c r="AB64" i="7" s="1"/>
  <c r="AC64" i="7" s="1"/>
  <c r="AD64" i="7"/>
  <c r="AD66" i="7" s="1"/>
  <c r="AC66" i="7" l="1"/>
  <c r="AD68" i="7" s="1"/>
  <c r="I1" i="7" s="1"/>
  <c r="K3" i="7" s="1"/>
</calcChain>
</file>

<file path=xl/sharedStrings.xml><?xml version="1.0" encoding="utf-8"?>
<sst xmlns="http://schemas.openxmlformats.org/spreadsheetml/2006/main" count="88" uniqueCount="82">
  <si>
    <t>Pacific Cafe</t>
  </si>
  <si>
    <t>per week</t>
  </si>
  <si>
    <t>$C$3</t>
  </si>
  <si>
    <t>$C$4</t>
  </si>
  <si>
    <t>$C$6</t>
  </si>
  <si>
    <t>$D$8</t>
  </si>
  <si>
    <t>$D$9</t>
  </si>
  <si>
    <t>$D$10</t>
  </si>
  <si>
    <t>$D$11</t>
  </si>
  <si>
    <t>$D$13</t>
  </si>
  <si>
    <t>Week</t>
  </si>
  <si>
    <t>α:</t>
  </si>
  <si>
    <t>A</t>
  </si>
  <si>
    <t>B</t>
  </si>
  <si>
    <t>C</t>
  </si>
  <si>
    <t>St.dev</t>
  </si>
  <si>
    <t>ABC</t>
  </si>
  <si>
    <t>SL</t>
  </si>
  <si>
    <t>Q</t>
  </si>
  <si>
    <t>Performance</t>
  </si>
  <si>
    <t>Average revenue per order</t>
  </si>
  <si>
    <t>Order costs</t>
  </si>
  <si>
    <t>Gross profit per order</t>
  </si>
  <si>
    <t>Average orders</t>
  </si>
  <si>
    <t>Total gross profit</t>
  </si>
  <si>
    <t>Salaries</t>
  </si>
  <si>
    <t>Rent</t>
  </si>
  <si>
    <t>Logistics costs</t>
  </si>
  <si>
    <t>Subtotal</t>
  </si>
  <si>
    <t>Operating profit</t>
  </si>
  <si>
    <t>per year (52 wks)</t>
  </si>
  <si>
    <t>Current</t>
  </si>
  <si>
    <t>Created by Groenendijk, B.J. on 6/8/2017</t>
  </si>
  <si>
    <t>Higher prices, less salary and promotion</t>
  </si>
  <si>
    <t>Higher prices, lower logistics costs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</si>
  <si>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</si>
  <si>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</si>
  <si>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</si>
  <si>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</si>
  <si>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</si>
  <si>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</si>
  <si>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</si>
  <si>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Exponential smoothing</t>
  </si>
  <si>
    <t>Actual sale</t>
  </si>
  <si>
    <t>Sale Forecast</t>
  </si>
  <si>
    <t>Deviation (absolute)</t>
  </si>
  <si>
    <t>Average</t>
  </si>
  <si>
    <t>Serv. Level</t>
  </si>
  <si>
    <t>%Carrying Costs</t>
  </si>
  <si>
    <t>Order Costs</t>
  </si>
  <si>
    <t>%Switchers</t>
  </si>
  <si>
    <t>Total old:</t>
  </si>
  <si>
    <t>Gap:</t>
  </si>
  <si>
    <t>Item no.</t>
  </si>
  <si>
    <t>Purchase price</t>
  </si>
  <si>
    <t>Selling price</t>
  </si>
  <si>
    <t>Lead time (m)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</si>
  <si>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</si>
  <si>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</si>
  <si>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</si>
  <si>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</si>
  <si>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</si>
  <si>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</si>
  <si>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</si>
  <si>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</si>
  <si>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</si>
  <si>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</si>
  <si>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</si>
  <si>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</si>
  <si>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</si>
  <si>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Avg.Sales</t>
  </si>
  <si>
    <t>Normal</t>
  </si>
  <si>
    <t>Annual Turnover</t>
  </si>
  <si>
    <t>%Turnover</t>
  </si>
  <si>
    <t>%Cum.Turnover</t>
  </si>
  <si>
    <t>Ss</t>
  </si>
  <si>
    <t>Avg. Stock</t>
  </si>
  <si>
    <t>Stock Costs</t>
  </si>
  <si>
    <t>Out-of-Stock Costs</t>
  </si>
  <si>
    <t>Total:</t>
  </si>
  <si>
    <t>General Total</t>
  </si>
  <si>
    <t>Advertising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</si>
</sst>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&quot;€&quot;\ #,##0.00_-"/>
    <numFmt numFmtId="167" formatCode="0.0"/>
    <numFmt numFmtId="168" formatCode="0.000"/>
    <numFmt numFmtId="169" formatCode="&quot;$&quot;#,##0.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1"/>
    <xf numFmtId="0" fontId="3" fillId="0" borderId="0" xfId="1" applyFont="1"/>
    <xf numFmtId="166" fontId="1" fillId="0" borderId="0" xfId="1" applyNumberFormat="1"/>
    <xf numFmtId="0" fontId="1" fillId="0" borderId="0" xfId="1" applyFont="1"/>
    <xf numFmtId="0" fontId="0" fillId="0" borderId="0" xfId="0" applyFill="1" applyBorder="1" applyAlignment="1"/>
    <xf numFmtId="3" fontId="0" fillId="0" borderId="0" xfId="0" applyNumberFormat="1" applyFill="1" applyBorder="1" applyAlignment="1"/>
    <xf numFmtId="0" fontId="0" fillId="0" borderId="4" xfId="0" applyFill="1" applyBorder="1" applyAlignment="1"/>
    <xf numFmtId="0" fontId="4" fillId="2" borderId="1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3" fontId="0" fillId="4" borderId="0" xfId="0" applyNumberFormat="1" applyFill="1" applyBorder="1" applyAlignment="1"/>
    <xf numFmtId="0" fontId="5" fillId="0" borderId="0" xfId="0" applyFont="1" applyFill="1" applyBorder="1" applyAlignment="1">
      <alignment vertical="top" wrapText="1"/>
    </xf>
    <xf numFmtId="167" fontId="1" fillId="0" borderId="0" xfId="1" applyNumberFormat="1"/>
    <xf numFmtId="2" fontId="1" fillId="0" borderId="0" xfId="1" applyNumberFormat="1"/>
    <xf numFmtId="49" fontId="3" fillId="0" borderId="0" xfId="1" applyNumberFormat="1" applyFont="1"/>
    <xf numFmtId="168" fontId="1" fillId="0" borderId="0" xfId="1" applyNumberFormat="1"/>
    <xf numFmtId="0" fontId="2" fillId="0" borderId="0" xfId="1" applyFont="1"/>
    <xf numFmtId="167" fontId="3" fillId="0" borderId="0" xfId="1" applyNumberFormat="1" applyFont="1"/>
    <xf numFmtId="0" fontId="1" fillId="0" borderId="0" xfId="4" applyNumberFormat="1" applyFont="1"/>
    <xf numFmtId="0" fontId="0" fillId="0" borderId="0" xfId="4" applyNumberFormat="1" applyFont="1"/>
    <xf numFmtId="9" fontId="1" fillId="0" borderId="0" xfId="1" applyNumberFormat="1"/>
    <xf numFmtId="165" fontId="0" fillId="0" borderId="0" xfId="4" applyFont="1"/>
    <xf numFmtId="1" fontId="3" fillId="0" borderId="0" xfId="1" applyNumberFormat="1" applyFont="1"/>
    <xf numFmtId="165" fontId="3" fillId="0" borderId="0" xfId="4" applyFont="1"/>
    <xf numFmtId="0" fontId="3" fillId="0" borderId="0" xfId="4" applyNumberFormat="1" applyFont="1" applyAlignment="1">
      <alignment vertical="center"/>
    </xf>
    <xf numFmtId="1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1" fontId="1" fillId="0" borderId="0" xfId="1" applyNumberFormat="1"/>
    <xf numFmtId="167" fontId="1" fillId="0" borderId="0" xfId="1" applyNumberFormat="1" applyAlignment="1">
      <alignment horizontal="center"/>
    </xf>
    <xf numFmtId="10" fontId="0" fillId="0" borderId="0" xfId="3" applyNumberFormat="1" applyFont="1"/>
    <xf numFmtId="10" fontId="1" fillId="0" borderId="0" xfId="1" applyNumberFormat="1"/>
    <xf numFmtId="0" fontId="1" fillId="0" borderId="0" xfId="1" applyAlignment="1">
      <alignment horizontal="center"/>
    </xf>
    <xf numFmtId="169" fontId="1" fillId="0" borderId="0" xfId="1" applyNumberFormat="1"/>
    <xf numFmtId="169" fontId="3" fillId="0" borderId="0" xfId="1" applyNumberFormat="1" applyFont="1"/>
    <xf numFmtId="169" fontId="0" fillId="0" borderId="0" xfId="0" applyNumberFormat="1" applyFill="1" applyBorder="1" applyAlignment="1"/>
    <xf numFmtId="169" fontId="0" fillId="0" borderId="2" xfId="0" applyNumberFormat="1" applyFill="1" applyBorder="1" applyAlignment="1"/>
    <xf numFmtId="0" fontId="8" fillId="2" borderId="3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169" fontId="0" fillId="4" borderId="0" xfId="0" applyNumberFormat="1" applyFill="1" applyBorder="1" applyAlignment="1"/>
    <xf numFmtId="164" fontId="0" fillId="0" borderId="0" xfId="4" applyNumberFormat="1" applyFont="1"/>
    <xf numFmtId="164" fontId="1" fillId="0" borderId="0" xfId="1" applyNumberFormat="1"/>
    <xf numFmtId="1" fontId="7" fillId="0" borderId="0" xfId="0" applyNumberFormat="1" applyFont="1"/>
    <xf numFmtId="10" fontId="1" fillId="0" borderId="0" xfId="5" applyNumberFormat="1" applyFont="1"/>
    <xf numFmtId="169" fontId="1" fillId="5" borderId="0" xfId="1" applyNumberFormat="1" applyFill="1"/>
    <xf numFmtId="3" fontId="1" fillId="5" borderId="0" xfId="1" applyNumberFormat="1" applyFill="1"/>
    <xf numFmtId="0" fontId="1" fillId="5" borderId="0" xfId="1" applyFill="1"/>
    <xf numFmtId="10" fontId="0" fillId="5" borderId="0" xfId="4" applyNumberFormat="1" applyFont="1" applyFill="1"/>
    <xf numFmtId="0" fontId="2" fillId="0" borderId="0" xfId="1" applyFont="1" applyAlignment="1">
      <alignment horizontal="center"/>
    </xf>
  </cellXfs>
  <cellStyles count="6">
    <cellStyle name="Euro" xfId="2" xr:uid="{00000000-0005-0000-0000-000000000000}"/>
    <cellStyle name="Procent" xfId="5" builtinId="5"/>
    <cellStyle name="Procent 2" xfId="3" xr:uid="{00000000-0005-0000-0000-000003000000}"/>
    <cellStyle name="Standaard" xfId="0" builtinId="0"/>
    <cellStyle name="Standaard 2" xfId="1" xr:uid="{00000000-0005-0000-0000-000004000000}"/>
    <cellStyle name="Valuta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1:G17"/>
  <sheetViews>
    <sheetView showGridLines="0" workbookViewId="0"/>
  </sheetViews>
  <sheetFormatPr defaultRowHeight="14.5" outlineLevelRow="1" outlineLevelCol="1" x14ac:dyDescent="0.35"/>
  <cols>
    <col min="3" max="3" width="6.26953125" customWidth="1"/>
    <col min="4" max="7" width="33.81640625" bestFit="1" customWidth="1" outlineLevel="1"/>
  </cols>
  <sheetData>
    <row r="1" spans="2:7" ht="15" thickBot="1" x14ac:dyDescent="0.4"/>
    <row r="2" spans="2:7" ht="15.5" x14ac:dyDescent="0.35">
      <c r="B2" s="38" t="s">
        <v>35</v>
      </c>
      <c r="C2" s="38"/>
      <c r="D2" s="8"/>
      <c r="E2" s="8"/>
      <c r="F2" s="8"/>
      <c r="G2" s="8"/>
    </row>
    <row r="3" spans="2:7" ht="15.5" collapsed="1" x14ac:dyDescent="0.35">
      <c r="B3" s="37"/>
      <c r="C3" s="37"/>
      <c r="D3" s="9" t="s">
        <v>37</v>
      </c>
      <c r="E3" s="9" t="s">
        <v>31</v>
      </c>
      <c r="F3" s="9" t="s">
        <v>33</v>
      </c>
      <c r="G3" s="9" t="s">
        <v>34</v>
      </c>
    </row>
    <row r="4" spans="2:7" hidden="1" outlineLevel="1" x14ac:dyDescent="0.35">
      <c r="B4" s="39"/>
      <c r="C4" s="39"/>
      <c r="D4" s="5"/>
      <c r="E4" s="11" t="s">
        <v>32</v>
      </c>
      <c r="F4" s="11" t="s">
        <v>32</v>
      </c>
      <c r="G4" s="11" t="s">
        <v>32</v>
      </c>
    </row>
    <row r="5" spans="2:7" x14ac:dyDescent="0.35">
      <c r="B5" s="40" t="s">
        <v>36</v>
      </c>
      <c r="C5" s="40"/>
      <c r="D5" s="7"/>
      <c r="E5" s="7"/>
      <c r="F5" s="7"/>
      <c r="G5" s="7"/>
    </row>
    <row r="6" spans="2:7" outlineLevel="1" x14ac:dyDescent="0.35">
      <c r="B6" s="39"/>
      <c r="C6" s="39" t="s">
        <v>2</v>
      </c>
      <c r="D6" s="35">
        <v>3.75</v>
      </c>
      <c r="E6" s="42">
        <v>3.65</v>
      </c>
      <c r="F6" s="42">
        <v>3.8325</v>
      </c>
      <c r="G6" s="42">
        <v>3.75</v>
      </c>
    </row>
    <row r="7" spans="2:7" outlineLevel="1" x14ac:dyDescent="0.35">
      <c r="B7" s="39"/>
      <c r="C7" s="39" t="s">
        <v>3</v>
      </c>
      <c r="D7" s="35">
        <v>1.8</v>
      </c>
      <c r="E7" s="42">
        <v>1.9</v>
      </c>
      <c r="F7" s="42">
        <v>1.9</v>
      </c>
      <c r="G7" s="42">
        <v>1.8</v>
      </c>
    </row>
    <row r="8" spans="2:7" outlineLevel="1" x14ac:dyDescent="0.35">
      <c r="B8" s="39"/>
      <c r="C8" s="39" t="s">
        <v>4</v>
      </c>
      <c r="D8" s="6">
        <v>12556</v>
      </c>
      <c r="E8" s="10">
        <v>12556</v>
      </c>
      <c r="F8" s="10">
        <v>12556</v>
      </c>
      <c r="G8" s="10">
        <v>12556</v>
      </c>
    </row>
    <row r="9" spans="2:7" outlineLevel="1" x14ac:dyDescent="0.35">
      <c r="B9" s="39"/>
      <c r="C9" s="39" t="s">
        <v>5</v>
      </c>
      <c r="D9" s="35">
        <v>257853</v>
      </c>
      <c r="E9" s="42">
        <v>257853</v>
      </c>
      <c r="F9" s="42">
        <v>225000</v>
      </c>
      <c r="G9" s="42">
        <v>257853</v>
      </c>
    </row>
    <row r="10" spans="2:7" outlineLevel="1" x14ac:dyDescent="0.35">
      <c r="B10" s="39"/>
      <c r="C10" s="39" t="s">
        <v>6</v>
      </c>
      <c r="D10" s="35">
        <v>185654</v>
      </c>
      <c r="E10" s="42">
        <v>185654</v>
      </c>
      <c r="F10" s="42">
        <v>185654</v>
      </c>
      <c r="G10" s="42">
        <v>185654</v>
      </c>
    </row>
    <row r="11" spans="2:7" outlineLevel="1" x14ac:dyDescent="0.35">
      <c r="B11" s="39"/>
      <c r="C11" s="39" t="s">
        <v>7</v>
      </c>
      <c r="D11" s="35">
        <v>57650</v>
      </c>
      <c r="E11" s="42">
        <v>57650</v>
      </c>
      <c r="F11" s="42">
        <v>50000</v>
      </c>
      <c r="G11" s="42">
        <v>57650</v>
      </c>
    </row>
    <row r="12" spans="2:7" outlineLevel="1" x14ac:dyDescent="0.35">
      <c r="B12" s="39"/>
      <c r="C12" s="39" t="s">
        <v>8</v>
      </c>
      <c r="D12" s="35">
        <v>450000</v>
      </c>
      <c r="E12" s="42">
        <v>496944</v>
      </c>
      <c r="F12" s="42">
        <v>496944</v>
      </c>
      <c r="G12" s="42">
        <v>450000</v>
      </c>
    </row>
    <row r="13" spans="2:7" x14ac:dyDescent="0.35">
      <c r="B13" s="40" t="s">
        <v>38</v>
      </c>
      <c r="C13" s="40"/>
      <c r="D13" s="7"/>
      <c r="E13" s="7"/>
      <c r="F13" s="7"/>
      <c r="G13" s="7"/>
    </row>
    <row r="14" spans="2:7" ht="15" outlineLevel="1" thickBot="1" x14ac:dyDescent="0.4">
      <c r="B14" s="41"/>
      <c r="C14" s="41" t="s">
        <v>9</v>
      </c>
      <c r="D14" s="36">
        <v>322021.40000000002</v>
      </c>
      <c r="E14" s="36">
        <v>144495</v>
      </c>
      <c r="F14" s="36">
        <v>304154.44</v>
      </c>
      <c r="G14" s="36">
        <v>322021.40000000002</v>
      </c>
    </row>
    <row r="15" spans="2:7" x14ac:dyDescent="0.35">
      <c r="B15" t="s">
        <v>39</v>
      </c>
    </row>
    <row r="16" spans="2:7" x14ac:dyDescent="0.35">
      <c r="B16" t="s">
        <v>40</v>
      </c>
    </row>
    <row r="17" spans="2:2" x14ac:dyDescent="0.35">
      <c r="B17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sqref="A1:D1"/>
    </sheetView>
  </sheetViews>
  <sheetFormatPr defaultColWidth="9.1796875" defaultRowHeight="12.5" x14ac:dyDescent="0.25"/>
  <cols>
    <col min="1" max="1" width="22.7265625" style="1" bestFit="1" customWidth="1"/>
    <col min="2" max="2" width="24.54296875" style="1" customWidth="1"/>
    <col min="3" max="3" width="13" style="1" customWidth="1"/>
    <col min="4" max="4" width="16.453125" style="1" bestFit="1" customWidth="1"/>
    <col min="5" max="16384" width="9.1796875" style="1"/>
  </cols>
  <sheetData>
    <row r="1" spans="1:4" ht="15.5" x14ac:dyDescent="0.35">
      <c r="A1" s="51" t="s">
        <v>0</v>
      </c>
      <c r="B1" s="51"/>
      <c r="C1" s="51"/>
      <c r="D1" s="51"/>
    </row>
    <row r="2" spans="1:4" ht="13" x14ac:dyDescent="0.3">
      <c r="A2" s="2" t="s">
        <v>19</v>
      </c>
      <c r="B2" s="2"/>
      <c r="C2" s="2" t="s">
        <v>1</v>
      </c>
      <c r="D2" s="2" t="s">
        <v>30</v>
      </c>
    </row>
    <row r="3" spans="1:4" x14ac:dyDescent="0.25">
      <c r="A3" s="1" t="s">
        <v>20</v>
      </c>
      <c r="C3" s="47">
        <v>3.75</v>
      </c>
      <c r="D3" s="3"/>
    </row>
    <row r="4" spans="1:4" x14ac:dyDescent="0.25">
      <c r="A4" s="1" t="s">
        <v>21</v>
      </c>
      <c r="C4" s="47">
        <v>1.8</v>
      </c>
      <c r="D4" s="3"/>
    </row>
    <row r="5" spans="1:4" x14ac:dyDescent="0.25">
      <c r="A5" s="1" t="s">
        <v>22</v>
      </c>
      <c r="C5" s="33">
        <f>C3-C4</f>
        <v>1.95</v>
      </c>
      <c r="D5" s="3"/>
    </row>
    <row r="6" spans="1:4" x14ac:dyDescent="0.25">
      <c r="A6" s="1" t="s">
        <v>23</v>
      </c>
      <c r="C6" s="48">
        <v>12556</v>
      </c>
      <c r="D6" s="3"/>
    </row>
    <row r="7" spans="1:4" ht="13" x14ac:dyDescent="0.3">
      <c r="A7" s="1" t="s">
        <v>24</v>
      </c>
      <c r="C7" s="34">
        <f>C5*C6</f>
        <v>24484.2</v>
      </c>
      <c r="D7" s="34">
        <f>C7*52</f>
        <v>1273178.4000000001</v>
      </c>
    </row>
    <row r="8" spans="1:4" x14ac:dyDescent="0.25">
      <c r="B8" s="1" t="s">
        <v>25</v>
      </c>
      <c r="C8" s="3"/>
      <c r="D8" s="47">
        <v>257853</v>
      </c>
    </row>
    <row r="9" spans="1:4" x14ac:dyDescent="0.25">
      <c r="B9" s="1" t="s">
        <v>26</v>
      </c>
      <c r="C9" s="3"/>
      <c r="D9" s="47">
        <v>185654</v>
      </c>
    </row>
    <row r="10" spans="1:4" x14ac:dyDescent="0.25">
      <c r="B10" s="1" t="s">
        <v>81</v>
      </c>
      <c r="C10" s="3"/>
      <c r="D10" s="47">
        <v>57650</v>
      </c>
    </row>
    <row r="11" spans="1:4" x14ac:dyDescent="0.25">
      <c r="B11" s="4" t="s">
        <v>27</v>
      </c>
      <c r="C11" s="3"/>
      <c r="D11" s="47">
        <v>450000</v>
      </c>
    </row>
    <row r="12" spans="1:4" ht="13" x14ac:dyDescent="0.3">
      <c r="A12" s="1" t="s">
        <v>28</v>
      </c>
      <c r="C12" s="3"/>
      <c r="D12" s="34">
        <f>SUM(D8:D11)</f>
        <v>951157</v>
      </c>
    </row>
    <row r="13" spans="1:4" ht="13" x14ac:dyDescent="0.3">
      <c r="A13" s="1" t="s">
        <v>29</v>
      </c>
      <c r="C13" s="3"/>
      <c r="D13" s="34">
        <f>D7-D12</f>
        <v>322021.40000000014</v>
      </c>
    </row>
  </sheetData>
  <scenarios current="2" show="2" sqref="D13">
    <scenario name="Current" locked="1" count="7" user="Ben Groenendijk" comment="Created by Ben Groenendijk on 1/26/2019">
      <inputCells r="C3" val="3,65" numFmtId="166"/>
      <inputCells r="C4" val="1,9" numFmtId="166"/>
      <inputCells r="C6" val="12556" numFmtId="3"/>
      <inputCells r="D8" val="257853" numFmtId="166"/>
      <inputCells r="D9" val="185654" numFmtId="166"/>
      <inputCells r="D10" val="57650" numFmtId="166"/>
      <inputCells r="D11" val="496944" numFmtId="166"/>
    </scenario>
    <scenario name="Increased prices, reduced salary and advertising" locked="1" count="7" user="Ben Groenendijk" comment="Created by Ben Groenendijk on 1/26/2019">
      <inputCells r="C3" val="3,8325" numFmtId="166"/>
      <inputCells r="C4" val="1,9" numFmtId="166"/>
      <inputCells r="C6" val="12556" numFmtId="3"/>
      <inputCells r="D8" val="225000" numFmtId="166"/>
      <inputCells r="D9" val="185654" numFmtId="166"/>
      <inputCells r="D10" val="50000" numFmtId="166"/>
      <inputCells r="D11" val="496944" numFmtId="166"/>
    </scenario>
    <scenario name="Increased prices, decreased logistics costs" locked="1" count="7" user="Ben Groenendijk" comment="Created by Ben Groenendijk on 1/26/2019">
      <inputCells r="C3" val="3,75" numFmtId="166"/>
      <inputCells r="C4" val="1,8" numFmtId="166"/>
      <inputCells r="C6" val="12556" numFmtId="3"/>
      <inputCells r="D8" val="257853" numFmtId="166"/>
      <inputCells r="D9" val="185654" numFmtId="166"/>
      <inputCells r="D10" val="57650" numFmtId="166"/>
      <inputCells r="D11" val="450000" numFmtId="166"/>
    </scenario>
  </scenarios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2"/>
  <sheetViews>
    <sheetView workbookViewId="0"/>
  </sheetViews>
  <sheetFormatPr defaultColWidth="9.1796875" defaultRowHeight="12.5" x14ac:dyDescent="0.25"/>
  <cols>
    <col min="1" max="1" width="19.1796875" style="1" customWidth="1"/>
    <col min="2" max="2" width="9.1796875" style="1" customWidth="1"/>
    <col min="3" max="3" width="6.54296875" style="1" bestFit="1" customWidth="1"/>
    <col min="4" max="11" width="7.54296875" style="1" bestFit="1" customWidth="1"/>
    <col min="12" max="12" width="9.1796875" style="1"/>
    <col min="13" max="13" width="12.1796875" style="1" bestFit="1" customWidth="1"/>
    <col min="14" max="16384" width="9.1796875" style="1"/>
  </cols>
  <sheetData>
    <row r="1" spans="1:14" ht="15.5" x14ac:dyDescent="0.35">
      <c r="A1" s="16" t="s">
        <v>42</v>
      </c>
    </row>
    <row r="2" spans="1:14" ht="15.5" x14ac:dyDescent="0.35">
      <c r="A2" s="16"/>
    </row>
    <row r="3" spans="1:14" ht="13" x14ac:dyDescent="0.3">
      <c r="A3" s="14" t="s">
        <v>11</v>
      </c>
      <c r="B3" s="49">
        <v>0.61558336714369088</v>
      </c>
    </row>
    <row r="4" spans="1:14" ht="15.5" x14ac:dyDescent="0.35">
      <c r="A4" s="16"/>
    </row>
    <row r="5" spans="1:14" ht="13" x14ac:dyDescent="0.3">
      <c r="A5" s="2" t="s">
        <v>10</v>
      </c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/>
      <c r="M5" s="2"/>
    </row>
    <row r="6" spans="1:14" ht="13" x14ac:dyDescent="0.3">
      <c r="A6" s="2" t="s">
        <v>43</v>
      </c>
      <c r="B6" s="1">
        <v>3434</v>
      </c>
      <c r="C6" s="1">
        <v>3512</v>
      </c>
      <c r="D6" s="1">
        <v>3389</v>
      </c>
      <c r="E6" s="1">
        <v>3406</v>
      </c>
      <c r="F6" s="1">
        <v>3603</v>
      </c>
      <c r="G6" s="1">
        <v>3077</v>
      </c>
      <c r="H6" s="1">
        <v>3454</v>
      </c>
      <c r="I6" s="1">
        <v>3845</v>
      </c>
      <c r="J6" s="1">
        <v>4211</v>
      </c>
      <c r="K6" s="1">
        <v>4001</v>
      </c>
      <c r="L6" s="2"/>
      <c r="M6" s="2"/>
    </row>
    <row r="8" spans="1:14" ht="13" x14ac:dyDescent="0.3">
      <c r="A8" s="2" t="s">
        <v>44</v>
      </c>
      <c r="C8" s="12">
        <v>3434</v>
      </c>
      <c r="D8" s="13">
        <f t="shared" ref="D8:K8" si="0">$B$3*C6+(1-$B$3)*C8</f>
        <v>3482.0155026372076</v>
      </c>
      <c r="E8" s="13">
        <f t="shared" si="0"/>
        <v>3424.7567063272327</v>
      </c>
      <c r="F8" s="13">
        <f t="shared" si="0"/>
        <v>3413.2103898897894</v>
      </c>
      <c r="G8" s="13">
        <f t="shared" si="0"/>
        <v>3530.0417171303211</v>
      </c>
      <c r="H8" s="13">
        <f t="shared" si="0"/>
        <v>3251.1567714426783</v>
      </c>
      <c r="I8" s="13">
        <f t="shared" si="0"/>
        <v>3376.0236890802917</v>
      </c>
      <c r="J8" s="13">
        <f t="shared" si="0"/>
        <v>3664.7177056668725</v>
      </c>
      <c r="K8" s="13">
        <f t="shared" si="0"/>
        <v>4000.9999998234398</v>
      </c>
      <c r="N8" s="13"/>
    </row>
    <row r="10" spans="1:14" ht="13" x14ac:dyDescent="0.3">
      <c r="A10" s="2"/>
      <c r="M10" s="2" t="s">
        <v>46</v>
      </c>
    </row>
    <row r="11" spans="1:14" ht="13" x14ac:dyDescent="0.3">
      <c r="A11" s="2" t="s">
        <v>45</v>
      </c>
      <c r="C11" s="12">
        <f>ABS(C6-C8)</f>
        <v>78</v>
      </c>
      <c r="D11" s="12">
        <f t="shared" ref="D11:K11" si="1">ABS(D6-D8)</f>
        <v>93.015502637207646</v>
      </c>
      <c r="E11" s="12">
        <f t="shared" si="1"/>
        <v>18.756706327232678</v>
      </c>
      <c r="F11" s="12">
        <f t="shared" si="1"/>
        <v>189.78961011021056</v>
      </c>
      <c r="G11" s="12">
        <f t="shared" si="1"/>
        <v>453.0417171303211</v>
      </c>
      <c r="H11" s="12">
        <f t="shared" si="1"/>
        <v>202.84322855732171</v>
      </c>
      <c r="I11" s="12">
        <f t="shared" si="1"/>
        <v>468.97631091970834</v>
      </c>
      <c r="J11" s="12">
        <f t="shared" si="1"/>
        <v>546.28229433312754</v>
      </c>
      <c r="K11" s="12">
        <f t="shared" si="1"/>
        <v>1.7656020645517856E-7</v>
      </c>
      <c r="M11" s="17">
        <f>AVERAGE(C11:K11)</f>
        <v>227.85615224352108</v>
      </c>
      <c r="N11" s="15"/>
    </row>
    <row r="13" spans="1:14" x14ac:dyDescent="0.25">
      <c r="F13" s="13"/>
      <c r="G13" s="13"/>
      <c r="H13" s="13"/>
      <c r="I13" s="13"/>
      <c r="J13" s="13"/>
      <c r="K13" s="13"/>
    </row>
    <row r="14" spans="1:14" x14ac:dyDescent="0.25">
      <c r="F14" s="13"/>
      <c r="G14" s="13"/>
      <c r="H14" s="13"/>
      <c r="I14" s="13"/>
      <c r="J14" s="13"/>
      <c r="K14" s="13"/>
      <c r="N14" s="13"/>
    </row>
    <row r="16" spans="1:14" x14ac:dyDescent="0.25">
      <c r="E16" s="13"/>
      <c r="F16" s="13"/>
      <c r="G16" s="13"/>
      <c r="H16" s="13"/>
      <c r="I16" s="13"/>
      <c r="J16" s="13"/>
      <c r="K16" s="13"/>
    </row>
    <row r="17" spans="3:14" x14ac:dyDescent="0.25">
      <c r="E17" s="13"/>
      <c r="F17" s="13"/>
      <c r="G17" s="13"/>
      <c r="H17" s="13"/>
      <c r="I17" s="13"/>
      <c r="J17" s="13"/>
      <c r="K17" s="13"/>
      <c r="N17" s="13"/>
    </row>
    <row r="19" spans="3:14" x14ac:dyDescent="0.25">
      <c r="N19" s="13"/>
    </row>
    <row r="22" spans="3:14" x14ac:dyDescent="0.25">
      <c r="C22" s="13"/>
      <c r="D22" s="13"/>
      <c r="E22" s="13"/>
      <c r="F22" s="13"/>
      <c r="G22" s="13"/>
      <c r="H22" s="13"/>
      <c r="I22" s="13"/>
      <c r="J22" s="13"/>
      <c r="K22" s="13"/>
      <c r="N22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AD854"/>
  <sheetViews>
    <sheetView workbookViewId="0"/>
  </sheetViews>
  <sheetFormatPr defaultColWidth="9.1796875" defaultRowHeight="14.5" x14ac:dyDescent="0.35"/>
  <cols>
    <col min="1" max="1" width="8.453125" style="1" bestFit="1" customWidth="1"/>
    <col min="2" max="2" width="15.81640625" style="21" bestFit="1" customWidth="1"/>
    <col min="3" max="3" width="13.7265625" style="21" bestFit="1" customWidth="1"/>
    <col min="4" max="4" width="13.7265625" style="19" customWidth="1"/>
    <col min="5" max="5" width="15.1796875" style="1" bestFit="1" customWidth="1"/>
    <col min="6" max="6" width="10.26953125" style="1" bestFit="1" customWidth="1"/>
    <col min="7" max="7" width="10.54296875" style="1" bestFit="1" customWidth="1"/>
    <col min="8" max="8" width="10.1796875" style="1" bestFit="1" customWidth="1"/>
    <col min="9" max="9" width="12.81640625" style="1" bestFit="1" customWidth="1"/>
    <col min="10" max="10" width="10.54296875" style="1" bestFit="1" customWidth="1"/>
    <col min="11" max="11" width="12.81640625" style="1" customWidth="1"/>
    <col min="12" max="12" width="10.453125" style="1" bestFit="1" customWidth="1"/>
    <col min="13" max="13" width="10.26953125" style="1" bestFit="1" customWidth="1"/>
    <col min="14" max="14" width="10" style="1" bestFit="1" customWidth="1"/>
    <col min="15" max="15" width="10.1796875" style="1" bestFit="1" customWidth="1"/>
    <col min="16" max="16" width="9.81640625" style="1" bestFit="1" customWidth="1"/>
    <col min="17" max="17" width="12.26953125" style="1" bestFit="1" customWidth="1"/>
    <col min="18" max="18" width="10" style="1" bestFit="1" customWidth="1"/>
    <col min="19" max="19" width="8.7265625" style="1" customWidth="1"/>
    <col min="20" max="20" width="11.7265625" style="1" customWidth="1"/>
    <col min="21" max="21" width="15.54296875" style="1" bestFit="1" customWidth="1"/>
    <col min="22" max="22" width="9.1796875" style="1"/>
    <col min="23" max="23" width="12.26953125" style="1" bestFit="1" customWidth="1"/>
    <col min="24" max="27" width="9.1796875" style="1"/>
    <col min="28" max="28" width="12" style="1" bestFit="1" customWidth="1"/>
    <col min="29" max="29" width="13.1796875" style="1" bestFit="1" customWidth="1"/>
    <col min="30" max="30" width="17.54296875" style="1" bestFit="1" customWidth="1"/>
    <col min="31" max="16384" width="9.1796875" style="1"/>
  </cols>
  <sheetData>
    <row r="1" spans="1:30" x14ac:dyDescent="0.35">
      <c r="A1" s="4" t="s">
        <v>12</v>
      </c>
      <c r="B1" s="50">
        <v>0.99288314140767342</v>
      </c>
      <c r="C1" s="18" t="s">
        <v>47</v>
      </c>
      <c r="E1" s="4" t="s">
        <v>48</v>
      </c>
      <c r="F1" s="20">
        <v>0.13</v>
      </c>
      <c r="H1" s="2" t="s">
        <v>79</v>
      </c>
      <c r="I1" s="44">
        <f>AD68</f>
        <v>180305.75380075042</v>
      </c>
    </row>
    <row r="2" spans="1:30" x14ac:dyDescent="0.35">
      <c r="A2" s="4" t="s">
        <v>13</v>
      </c>
      <c r="B2" s="50">
        <v>0.99284108501557022</v>
      </c>
      <c r="C2" s="18" t="s">
        <v>47</v>
      </c>
      <c r="E2" s="4" t="s">
        <v>49</v>
      </c>
      <c r="F2" s="43">
        <v>95</v>
      </c>
    </row>
    <row r="3" spans="1:30" x14ac:dyDescent="0.35">
      <c r="A3" s="4" t="s">
        <v>14</v>
      </c>
      <c r="B3" s="50">
        <v>0.99591493403167763</v>
      </c>
      <c r="C3" s="18" t="s">
        <v>47</v>
      </c>
      <c r="E3" s="4" t="s">
        <v>50</v>
      </c>
      <c r="F3" s="20">
        <v>0.35</v>
      </c>
      <c r="H3" s="2" t="s">
        <v>51</v>
      </c>
      <c r="I3" s="44">
        <v>204605.77</v>
      </c>
      <c r="J3" s="2" t="s">
        <v>52</v>
      </c>
      <c r="K3" s="44">
        <f>I3-I1</f>
        <v>24300.01619924957</v>
      </c>
    </row>
    <row r="5" spans="1:30" s="2" customFormat="1" x14ac:dyDescent="0.35">
      <c r="A5" s="22" t="s">
        <v>53</v>
      </c>
      <c r="B5" s="23" t="s">
        <v>54</v>
      </c>
      <c r="C5" s="23" t="s">
        <v>55</v>
      </c>
      <c r="D5" s="24" t="s">
        <v>56</v>
      </c>
      <c r="E5" s="45" t="s">
        <v>57</v>
      </c>
      <c r="F5" s="45" t="s">
        <v>58</v>
      </c>
      <c r="G5" s="45" t="s">
        <v>59</v>
      </c>
      <c r="H5" s="45" t="s">
        <v>60</v>
      </c>
      <c r="I5" s="45" t="s">
        <v>61</v>
      </c>
      <c r="J5" s="45" t="s">
        <v>62</v>
      </c>
      <c r="K5" s="45" t="s">
        <v>63</v>
      </c>
      <c r="L5" s="45" t="s">
        <v>64</v>
      </c>
      <c r="M5" s="45" t="s">
        <v>65</v>
      </c>
      <c r="N5" s="45" t="s">
        <v>66</v>
      </c>
      <c r="O5" s="45" t="s">
        <v>67</v>
      </c>
      <c r="P5" s="45" t="s">
        <v>68</v>
      </c>
      <c r="Q5" s="45" t="s">
        <v>69</v>
      </c>
      <c r="R5" s="22" t="s">
        <v>70</v>
      </c>
      <c r="S5" s="22" t="s">
        <v>15</v>
      </c>
      <c r="T5" s="22" t="s">
        <v>71</v>
      </c>
      <c r="U5" s="22" t="s">
        <v>72</v>
      </c>
      <c r="V5" s="22" t="s">
        <v>73</v>
      </c>
      <c r="W5" s="22" t="s">
        <v>74</v>
      </c>
      <c r="X5" s="25" t="s">
        <v>16</v>
      </c>
      <c r="Y5" s="26" t="s">
        <v>17</v>
      </c>
      <c r="Z5" s="27" t="s">
        <v>18</v>
      </c>
      <c r="AA5" s="27" t="s">
        <v>75</v>
      </c>
      <c r="AB5" s="2" t="s">
        <v>76</v>
      </c>
      <c r="AC5" s="2" t="s">
        <v>77</v>
      </c>
      <c r="AD5" s="2" t="s">
        <v>78</v>
      </c>
    </row>
    <row r="6" spans="1:30" x14ac:dyDescent="0.35">
      <c r="A6" s="28">
        <v>20051</v>
      </c>
      <c r="B6" s="43">
        <v>919</v>
      </c>
      <c r="C6" s="43">
        <v>1250</v>
      </c>
      <c r="D6" s="19">
        <v>1.8</v>
      </c>
      <c r="E6" s="28">
        <v>214</v>
      </c>
      <c r="F6" s="28">
        <v>120</v>
      </c>
      <c r="G6" s="28">
        <v>275</v>
      </c>
      <c r="H6" s="28">
        <v>150</v>
      </c>
      <c r="I6" s="28">
        <v>152</v>
      </c>
      <c r="J6" s="28">
        <v>320</v>
      </c>
      <c r="K6" s="28">
        <v>230</v>
      </c>
      <c r="L6" s="28">
        <v>320</v>
      </c>
      <c r="M6" s="28">
        <v>250</v>
      </c>
      <c r="N6" s="28">
        <v>345</v>
      </c>
      <c r="O6" s="28">
        <v>350</v>
      </c>
      <c r="P6" s="28">
        <v>299</v>
      </c>
      <c r="Q6" s="28">
        <f t="shared" ref="Q6:Q37" si="0">SUM(E6:P6)</f>
        <v>3025</v>
      </c>
      <c r="R6" s="28">
        <f t="shared" ref="R6:R37" si="1">AVERAGE(E6:P6)</f>
        <v>252.08333333333334</v>
      </c>
      <c r="S6" s="28">
        <f t="shared" ref="S6:S37" si="2">STDEV(E6:P6)</f>
        <v>79.771786232902386</v>
      </c>
      <c r="T6" s="29" t="str">
        <f>IF(S6/R6&lt;=1,"Yes","No")</f>
        <v>Yes</v>
      </c>
      <c r="U6" s="43">
        <f t="shared" ref="U6:U37" si="3">Q6*C6</f>
        <v>3781250</v>
      </c>
      <c r="V6" s="30">
        <f t="shared" ref="V6:V37" si="4">U6/$U$66</f>
        <v>6.7381188521125165E-2</v>
      </c>
      <c r="W6" s="31">
        <f>V6</f>
        <v>6.7381188521125165E-2</v>
      </c>
      <c r="X6" s="32" t="str">
        <f t="shared" ref="X6:X37" si="5">IF(W6&lt;=0.8,"A",IF(W6&lt;=0.95,"B","C"))</f>
        <v>A</v>
      </c>
      <c r="Y6" s="46">
        <f t="shared" ref="Y6:Y37" si="6">VLOOKUP(X6,$A$1:$B$3,2,FALSE)</f>
        <v>0.99288314140767342</v>
      </c>
      <c r="Z6" s="1">
        <f>ROUND(SQRT(2*Q6*$F$2/(B6*$F$1)),0)</f>
        <v>69</v>
      </c>
      <c r="AA6" s="1">
        <f>ROUND(NORMSINV(Y6)*SQRT(D6)*S6,0)</f>
        <v>262</v>
      </c>
      <c r="AB6" s="1">
        <f>Z6/2+AA6</f>
        <v>296.5</v>
      </c>
      <c r="AC6" s="44">
        <f>AB6*B6*$F$1</f>
        <v>35422.855000000003</v>
      </c>
      <c r="AD6" s="44">
        <f>Q6*(1-Y6)*$F$3*(C6-B6)</f>
        <v>2494.0764054611291</v>
      </c>
    </row>
    <row r="7" spans="1:30" hidden="1" x14ac:dyDescent="0.35">
      <c r="A7" s="28">
        <v>20552</v>
      </c>
      <c r="B7" s="43">
        <v>2852</v>
      </c>
      <c r="C7" s="43">
        <v>4250</v>
      </c>
      <c r="D7" s="19">
        <v>1.9</v>
      </c>
      <c r="E7" s="28">
        <v>0</v>
      </c>
      <c r="F7" s="28">
        <v>0</v>
      </c>
      <c r="G7" s="28">
        <v>0</v>
      </c>
      <c r="H7" s="28">
        <v>0</v>
      </c>
      <c r="I7" s="28">
        <v>345</v>
      </c>
      <c r="J7" s="28">
        <v>456</v>
      </c>
      <c r="K7" s="28">
        <v>45</v>
      </c>
      <c r="L7" s="28">
        <v>0</v>
      </c>
      <c r="M7" s="28">
        <v>0</v>
      </c>
      <c r="N7" s="28">
        <v>0</v>
      </c>
      <c r="O7" s="28">
        <v>0</v>
      </c>
      <c r="P7" s="28">
        <v>0</v>
      </c>
      <c r="Q7" s="28">
        <f t="shared" si="0"/>
        <v>846</v>
      </c>
      <c r="R7" s="28">
        <f t="shared" si="1"/>
        <v>70.5</v>
      </c>
      <c r="S7" s="28">
        <f t="shared" si="2"/>
        <v>156.47915922808147</v>
      </c>
      <c r="T7" s="29" t="str">
        <f t="shared" ref="T7:T64" si="7">IF(S7/R7&lt;=1,"Yes","No")</f>
        <v>No</v>
      </c>
      <c r="U7" s="43">
        <f t="shared" si="3"/>
        <v>3595500</v>
      </c>
      <c r="V7" s="30">
        <f t="shared" si="4"/>
        <v>6.407115724369071E-2</v>
      </c>
      <c r="W7" s="31">
        <f t="shared" ref="W7:W38" si="8">W6+V7</f>
        <v>0.13145234576481588</v>
      </c>
      <c r="X7" s="32" t="str">
        <f t="shared" si="5"/>
        <v>A</v>
      </c>
      <c r="Y7" s="46">
        <f t="shared" si="6"/>
        <v>0.99288314140767342</v>
      </c>
      <c r="AC7" s="44"/>
      <c r="AD7" s="44"/>
    </row>
    <row r="8" spans="1:30" x14ac:dyDescent="0.35">
      <c r="A8" s="28">
        <v>28782</v>
      </c>
      <c r="B8" s="43">
        <v>326</v>
      </c>
      <c r="C8" s="43">
        <v>460</v>
      </c>
      <c r="D8" s="19">
        <v>0.9</v>
      </c>
      <c r="E8" s="28">
        <v>562</v>
      </c>
      <c r="F8" s="28">
        <v>711</v>
      </c>
      <c r="G8" s="28">
        <v>619</v>
      </c>
      <c r="H8" s="28">
        <v>721</v>
      </c>
      <c r="I8" s="28">
        <v>409</v>
      </c>
      <c r="J8" s="28">
        <v>695</v>
      </c>
      <c r="K8" s="28">
        <v>773</v>
      </c>
      <c r="L8" s="28">
        <v>732</v>
      </c>
      <c r="M8" s="28">
        <v>516</v>
      </c>
      <c r="N8" s="28">
        <v>609</v>
      </c>
      <c r="O8" s="28">
        <v>726</v>
      </c>
      <c r="P8" s="28">
        <v>636</v>
      </c>
      <c r="Q8" s="28">
        <f t="shared" si="0"/>
        <v>7709</v>
      </c>
      <c r="R8" s="28">
        <f t="shared" si="1"/>
        <v>642.41666666666663</v>
      </c>
      <c r="S8" s="28">
        <f t="shared" si="2"/>
        <v>106.32066277696617</v>
      </c>
      <c r="T8" s="29" t="str">
        <f t="shared" si="7"/>
        <v>Yes</v>
      </c>
      <c r="U8" s="43">
        <f t="shared" si="3"/>
        <v>3546140</v>
      </c>
      <c r="V8" s="30">
        <f t="shared" si="4"/>
        <v>6.3191571004906522E-2</v>
      </c>
      <c r="W8" s="31">
        <f t="shared" si="8"/>
        <v>0.1946439167697224</v>
      </c>
      <c r="X8" s="32" t="str">
        <f t="shared" si="5"/>
        <v>A</v>
      </c>
      <c r="Y8" s="46">
        <f t="shared" si="6"/>
        <v>0.99288314140767342</v>
      </c>
      <c r="Z8" s="1">
        <f>ROUND(SQRT(2*Q8*$F$2/(B8*$F$1)),0)</f>
        <v>186</v>
      </c>
      <c r="AA8" s="1">
        <f>ROUND(NORMSINV(Y8)*SQRT(D8)*S8,0)</f>
        <v>247</v>
      </c>
      <c r="AB8" s="1">
        <f>Z8/2+AA8</f>
        <v>340</v>
      </c>
      <c r="AC8" s="44">
        <f>AB8*B8*$F$1</f>
        <v>14409.2</v>
      </c>
      <c r="AD8" s="44">
        <f>Q8*(1-Y8)*$F$3*(C8-B8)</f>
        <v>2573.1151694587188</v>
      </c>
    </row>
    <row r="9" spans="1:30" x14ac:dyDescent="0.35">
      <c r="A9" s="28">
        <v>20357</v>
      </c>
      <c r="B9" s="43">
        <v>544</v>
      </c>
      <c r="C9" s="43">
        <v>800</v>
      </c>
      <c r="D9" s="19">
        <v>1.8</v>
      </c>
      <c r="E9" s="28">
        <v>9</v>
      </c>
      <c r="F9" s="28">
        <v>320</v>
      </c>
      <c r="G9" s="28">
        <v>290</v>
      </c>
      <c r="H9" s="28">
        <v>400</v>
      </c>
      <c r="I9" s="28">
        <v>389</v>
      </c>
      <c r="J9" s="28">
        <v>300</v>
      </c>
      <c r="K9" s="28">
        <v>299</v>
      </c>
      <c r="L9" s="28">
        <v>400</v>
      </c>
      <c r="M9" s="28">
        <v>421</v>
      </c>
      <c r="N9" s="28">
        <v>480</v>
      </c>
      <c r="O9" s="28">
        <v>399</v>
      </c>
      <c r="P9" s="28">
        <v>401</v>
      </c>
      <c r="Q9" s="28">
        <f t="shared" si="0"/>
        <v>4108</v>
      </c>
      <c r="R9" s="28">
        <f t="shared" si="1"/>
        <v>342.33333333333331</v>
      </c>
      <c r="S9" s="28">
        <f t="shared" si="2"/>
        <v>120.0911270156076</v>
      </c>
      <c r="T9" s="29" t="str">
        <f t="shared" si="7"/>
        <v>Yes</v>
      </c>
      <c r="U9" s="43">
        <f t="shared" si="3"/>
        <v>3286400</v>
      </c>
      <c r="V9" s="30">
        <f t="shared" si="4"/>
        <v>5.8563051360218374E-2</v>
      </c>
      <c r="W9" s="31">
        <f t="shared" si="8"/>
        <v>0.25320696812994076</v>
      </c>
      <c r="X9" s="32" t="str">
        <f t="shared" si="5"/>
        <v>A</v>
      </c>
      <c r="Y9" s="46">
        <f t="shared" si="6"/>
        <v>0.99288314140767342</v>
      </c>
      <c r="Z9" s="1">
        <f>ROUND(SQRT(2*Q9*$F$2/(B9*$F$1)),0)</f>
        <v>105</v>
      </c>
      <c r="AA9" s="1">
        <f>ROUND(NORMSINV(Y9)*SQRT(D9)*S9,0)</f>
        <v>395</v>
      </c>
      <c r="AB9" s="1">
        <f>Z9/2+AA9</f>
        <v>447.5</v>
      </c>
      <c r="AC9" s="44">
        <f>AB9*B9*$F$1</f>
        <v>31647.200000000001</v>
      </c>
      <c r="AD9" s="44">
        <f>Q9*(1-Y9)*$F$3*(C9-B9)</f>
        <v>2619.5505367160722</v>
      </c>
    </row>
    <row r="10" spans="1:30" hidden="1" x14ac:dyDescent="0.35">
      <c r="A10" s="28">
        <v>20489</v>
      </c>
      <c r="B10" s="43">
        <v>3215</v>
      </c>
      <c r="C10" s="43">
        <v>4340</v>
      </c>
      <c r="D10" s="19">
        <v>1.6</v>
      </c>
      <c r="E10" s="28">
        <v>2</v>
      </c>
      <c r="F10" s="28">
        <v>2</v>
      </c>
      <c r="G10" s="28">
        <v>189</v>
      </c>
      <c r="H10" s="28">
        <v>8</v>
      </c>
      <c r="I10" s="28">
        <v>8</v>
      </c>
      <c r="J10" s="28">
        <v>234</v>
      </c>
      <c r="K10" s="28">
        <v>6</v>
      </c>
      <c r="L10" s="28">
        <v>5</v>
      </c>
      <c r="M10" s="28">
        <v>234</v>
      </c>
      <c r="N10" s="28">
        <v>5</v>
      </c>
      <c r="O10" s="28">
        <v>0</v>
      </c>
      <c r="P10" s="28">
        <v>5</v>
      </c>
      <c r="Q10" s="28">
        <f t="shared" si="0"/>
        <v>698</v>
      </c>
      <c r="R10" s="28">
        <f t="shared" si="1"/>
        <v>58.166666666666664</v>
      </c>
      <c r="S10" s="28">
        <f t="shared" si="2"/>
        <v>97.644841909417565</v>
      </c>
      <c r="T10" s="29" t="str">
        <f t="shared" si="7"/>
        <v>No</v>
      </c>
      <c r="U10" s="43">
        <f t="shared" si="3"/>
        <v>3029320</v>
      </c>
      <c r="V10" s="30">
        <f t="shared" si="4"/>
        <v>5.3981932432612192E-2</v>
      </c>
      <c r="W10" s="31">
        <f t="shared" si="8"/>
        <v>0.30718890056255294</v>
      </c>
      <c r="X10" s="32" t="str">
        <f t="shared" si="5"/>
        <v>A</v>
      </c>
      <c r="Y10" s="46">
        <f t="shared" si="6"/>
        <v>0.99288314140767342</v>
      </c>
      <c r="AC10" s="44"/>
      <c r="AD10" s="44"/>
    </row>
    <row r="11" spans="1:30" hidden="1" x14ac:dyDescent="0.35">
      <c r="A11" s="28">
        <v>22138</v>
      </c>
      <c r="B11" s="43">
        <v>3212</v>
      </c>
      <c r="C11" s="43">
        <v>4240</v>
      </c>
      <c r="D11" s="19">
        <v>0.1</v>
      </c>
      <c r="E11" s="28">
        <v>0</v>
      </c>
      <c r="F11" s="28">
        <v>0</v>
      </c>
      <c r="G11" s="28">
        <v>0</v>
      </c>
      <c r="H11" s="28">
        <v>0</v>
      </c>
      <c r="I11" s="28">
        <v>234</v>
      </c>
      <c r="J11" s="28">
        <v>299</v>
      </c>
      <c r="K11" s="28">
        <v>15</v>
      </c>
      <c r="L11" s="28">
        <v>1</v>
      </c>
      <c r="M11" s="28">
        <v>0</v>
      </c>
      <c r="N11" s="28">
        <v>0</v>
      </c>
      <c r="O11" s="28">
        <v>0</v>
      </c>
      <c r="P11" s="28">
        <v>0</v>
      </c>
      <c r="Q11" s="28">
        <f t="shared" si="0"/>
        <v>549</v>
      </c>
      <c r="R11" s="28">
        <f t="shared" si="1"/>
        <v>45.75</v>
      </c>
      <c r="S11" s="28">
        <f t="shared" si="2"/>
        <v>104.12678024233902</v>
      </c>
      <c r="T11" s="29" t="str">
        <f t="shared" si="7"/>
        <v>No</v>
      </c>
      <c r="U11" s="43">
        <f t="shared" si="3"/>
        <v>2327760</v>
      </c>
      <c r="V11" s="30">
        <f t="shared" si="4"/>
        <v>4.1480260599519814E-2</v>
      </c>
      <c r="W11" s="31">
        <f t="shared" si="8"/>
        <v>0.34866916116207275</v>
      </c>
      <c r="X11" s="32" t="str">
        <f t="shared" si="5"/>
        <v>A</v>
      </c>
      <c r="Y11" s="46">
        <f t="shared" si="6"/>
        <v>0.99288314140767342</v>
      </c>
      <c r="AC11" s="44"/>
      <c r="AD11" s="44"/>
    </row>
    <row r="12" spans="1:30" hidden="1" x14ac:dyDescent="0.35">
      <c r="A12" s="28">
        <v>20360</v>
      </c>
      <c r="B12" s="43">
        <v>2979</v>
      </c>
      <c r="C12" s="43">
        <v>4320</v>
      </c>
      <c r="D12" s="19">
        <v>0.9</v>
      </c>
      <c r="E12" s="28">
        <v>0</v>
      </c>
      <c r="F12" s="28">
        <v>4</v>
      </c>
      <c r="G12" s="28">
        <v>134</v>
      </c>
      <c r="H12" s="28">
        <v>0</v>
      </c>
      <c r="I12" s="28">
        <v>9</v>
      </c>
      <c r="J12" s="28">
        <v>167</v>
      </c>
      <c r="K12" s="28">
        <v>10</v>
      </c>
      <c r="L12" s="28">
        <v>9</v>
      </c>
      <c r="M12" s="28">
        <v>167</v>
      </c>
      <c r="N12" s="28">
        <v>1</v>
      </c>
      <c r="O12" s="28">
        <v>9</v>
      </c>
      <c r="P12" s="28">
        <v>5</v>
      </c>
      <c r="Q12" s="28">
        <f t="shared" si="0"/>
        <v>515</v>
      </c>
      <c r="R12" s="28">
        <f t="shared" si="1"/>
        <v>42.916666666666664</v>
      </c>
      <c r="S12" s="28">
        <f t="shared" si="2"/>
        <v>68.766347918590284</v>
      </c>
      <c r="T12" s="29" t="str">
        <f t="shared" si="7"/>
        <v>No</v>
      </c>
      <c r="U12" s="43">
        <f t="shared" si="3"/>
        <v>2224800</v>
      </c>
      <c r="V12" s="30">
        <f t="shared" si="4"/>
        <v>3.9645532091715507E-2</v>
      </c>
      <c r="W12" s="31">
        <f t="shared" si="8"/>
        <v>0.38831469325378826</v>
      </c>
      <c r="X12" s="32" t="str">
        <f t="shared" si="5"/>
        <v>A</v>
      </c>
      <c r="Y12" s="46">
        <f t="shared" si="6"/>
        <v>0.99288314140767342</v>
      </c>
      <c r="AC12" s="44"/>
      <c r="AD12" s="44"/>
    </row>
    <row r="13" spans="1:30" hidden="1" x14ac:dyDescent="0.35">
      <c r="A13" s="28">
        <v>26777</v>
      </c>
      <c r="B13" s="43">
        <v>3625</v>
      </c>
      <c r="C13" s="43">
        <v>5148</v>
      </c>
      <c r="D13" s="19">
        <v>0.2</v>
      </c>
      <c r="E13" s="28">
        <v>0</v>
      </c>
      <c r="F13" s="28">
        <v>0</v>
      </c>
      <c r="G13" s="28">
        <v>189</v>
      </c>
      <c r="H13" s="28">
        <v>234</v>
      </c>
      <c r="I13" s="28">
        <v>7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28">
        <v>0</v>
      </c>
      <c r="Q13" s="28">
        <f t="shared" si="0"/>
        <v>430</v>
      </c>
      <c r="R13" s="28">
        <f t="shared" si="1"/>
        <v>35.833333333333336</v>
      </c>
      <c r="S13" s="28">
        <f t="shared" si="2"/>
        <v>82.637030367013963</v>
      </c>
      <c r="T13" s="29" t="str">
        <f t="shared" si="7"/>
        <v>No</v>
      </c>
      <c r="U13" s="43">
        <f t="shared" si="3"/>
        <v>2213640</v>
      </c>
      <c r="V13" s="30">
        <f t="shared" si="4"/>
        <v>3.9446662917792662E-2</v>
      </c>
      <c r="W13" s="31">
        <f t="shared" si="8"/>
        <v>0.4277613561715809</v>
      </c>
      <c r="X13" s="32" t="str">
        <f t="shared" si="5"/>
        <v>A</v>
      </c>
      <c r="Y13" s="46">
        <f t="shared" si="6"/>
        <v>0.99288314140767342</v>
      </c>
      <c r="AC13" s="44"/>
      <c r="AD13" s="44"/>
    </row>
    <row r="14" spans="1:30" hidden="1" x14ac:dyDescent="0.35">
      <c r="A14" s="28">
        <v>41132</v>
      </c>
      <c r="B14" s="43">
        <v>3519</v>
      </c>
      <c r="C14" s="43">
        <v>5032.5</v>
      </c>
      <c r="D14" s="19">
        <v>0.3</v>
      </c>
      <c r="E14" s="28">
        <v>5</v>
      </c>
      <c r="F14" s="28">
        <v>0</v>
      </c>
      <c r="G14" s="28">
        <v>99</v>
      </c>
      <c r="H14" s="28">
        <v>6</v>
      </c>
      <c r="I14" s="28">
        <v>6</v>
      </c>
      <c r="J14" s="28">
        <v>4</v>
      </c>
      <c r="K14" s="28">
        <v>4</v>
      </c>
      <c r="L14" s="28">
        <v>103</v>
      </c>
      <c r="M14" s="28">
        <v>3</v>
      </c>
      <c r="N14" s="28">
        <v>4</v>
      </c>
      <c r="O14" s="28">
        <v>133</v>
      </c>
      <c r="P14" s="28">
        <v>7</v>
      </c>
      <c r="Q14" s="28">
        <f t="shared" si="0"/>
        <v>374</v>
      </c>
      <c r="R14" s="28">
        <f t="shared" si="1"/>
        <v>31.166666666666668</v>
      </c>
      <c r="S14" s="28">
        <f t="shared" si="2"/>
        <v>49.217205663602371</v>
      </c>
      <c r="T14" s="29" t="str">
        <f t="shared" si="7"/>
        <v>No</v>
      </c>
      <c r="U14" s="43">
        <f t="shared" si="3"/>
        <v>1882155</v>
      </c>
      <c r="V14" s="30">
        <f t="shared" si="4"/>
        <v>3.3539660398275259E-2</v>
      </c>
      <c r="W14" s="31">
        <f t="shared" si="8"/>
        <v>0.46130101656985617</v>
      </c>
      <c r="X14" s="32" t="str">
        <f t="shared" si="5"/>
        <v>A</v>
      </c>
      <c r="Y14" s="46">
        <f t="shared" si="6"/>
        <v>0.99288314140767342</v>
      </c>
      <c r="AC14" s="44"/>
      <c r="AD14" s="44"/>
    </row>
    <row r="15" spans="1:30" hidden="1" x14ac:dyDescent="0.35">
      <c r="A15" s="28">
        <v>20053</v>
      </c>
      <c r="B15" s="43">
        <v>3242</v>
      </c>
      <c r="C15" s="43">
        <v>4280</v>
      </c>
      <c r="D15" s="19">
        <v>0.6</v>
      </c>
      <c r="E15" s="28">
        <v>0</v>
      </c>
      <c r="F15" s="28">
        <v>10</v>
      </c>
      <c r="G15" s="28">
        <v>130</v>
      </c>
      <c r="H15" s="28">
        <v>5</v>
      </c>
      <c r="I15" s="28">
        <v>5</v>
      </c>
      <c r="J15" s="28">
        <v>150</v>
      </c>
      <c r="K15" s="28">
        <v>0</v>
      </c>
      <c r="L15" s="28">
        <v>0</v>
      </c>
      <c r="M15" s="28">
        <v>135</v>
      </c>
      <c r="N15" s="28">
        <v>0</v>
      </c>
      <c r="O15" s="28">
        <v>4</v>
      </c>
      <c r="P15" s="28">
        <v>0</v>
      </c>
      <c r="Q15" s="28">
        <f t="shared" si="0"/>
        <v>439</v>
      </c>
      <c r="R15" s="28">
        <f t="shared" si="1"/>
        <v>36.583333333333336</v>
      </c>
      <c r="S15" s="28">
        <f t="shared" si="2"/>
        <v>61.593178980871713</v>
      </c>
      <c r="T15" s="29" t="str">
        <f t="shared" si="7"/>
        <v>No</v>
      </c>
      <c r="U15" s="43">
        <f t="shared" si="3"/>
        <v>1878920</v>
      </c>
      <c r="V15" s="30">
        <f t="shared" si="4"/>
        <v>3.3482013285583465E-2</v>
      </c>
      <c r="W15" s="31">
        <f t="shared" si="8"/>
        <v>0.49478302985543965</v>
      </c>
      <c r="X15" s="32" t="str">
        <f t="shared" si="5"/>
        <v>A</v>
      </c>
      <c r="Y15" s="46">
        <f t="shared" si="6"/>
        <v>0.99288314140767342</v>
      </c>
      <c r="AC15" s="44"/>
      <c r="AD15" s="44"/>
    </row>
    <row r="16" spans="1:30" hidden="1" x14ac:dyDescent="0.35">
      <c r="A16" s="28">
        <v>41005</v>
      </c>
      <c r="B16" s="43">
        <v>3601</v>
      </c>
      <c r="C16" s="43">
        <v>4969.5</v>
      </c>
      <c r="D16" s="19">
        <v>1.8</v>
      </c>
      <c r="E16" s="28">
        <v>0</v>
      </c>
      <c r="F16" s="28">
        <v>0</v>
      </c>
      <c r="G16" s="28">
        <v>123</v>
      </c>
      <c r="H16" s="28">
        <v>0</v>
      </c>
      <c r="I16" s="28">
        <v>4</v>
      </c>
      <c r="J16" s="28">
        <v>0</v>
      </c>
      <c r="K16" s="28">
        <v>0</v>
      </c>
      <c r="L16" s="28">
        <v>145</v>
      </c>
      <c r="M16" s="28">
        <v>0</v>
      </c>
      <c r="N16" s="28">
        <v>2</v>
      </c>
      <c r="O16" s="28">
        <v>101</v>
      </c>
      <c r="P16" s="28">
        <v>0</v>
      </c>
      <c r="Q16" s="28">
        <f t="shared" si="0"/>
        <v>375</v>
      </c>
      <c r="R16" s="28">
        <f t="shared" si="1"/>
        <v>31.25</v>
      </c>
      <c r="S16" s="28">
        <f t="shared" si="2"/>
        <v>56.129922339320778</v>
      </c>
      <c r="T16" s="29" t="str">
        <f t="shared" si="7"/>
        <v>No</v>
      </c>
      <c r="U16" s="43">
        <f t="shared" si="3"/>
        <v>1863562.5</v>
      </c>
      <c r="V16" s="30">
        <f t="shared" si="4"/>
        <v>3.3208345423708908E-2</v>
      </c>
      <c r="W16" s="31">
        <f t="shared" si="8"/>
        <v>0.52799137527914852</v>
      </c>
      <c r="X16" s="32" t="str">
        <f t="shared" si="5"/>
        <v>A</v>
      </c>
      <c r="Y16" s="46">
        <f t="shared" si="6"/>
        <v>0.99288314140767342</v>
      </c>
      <c r="AC16" s="44"/>
      <c r="AD16" s="44"/>
    </row>
    <row r="17" spans="1:30" hidden="1" x14ac:dyDescent="0.35">
      <c r="A17" s="28">
        <v>29450</v>
      </c>
      <c r="B17" s="43">
        <v>3906</v>
      </c>
      <c r="C17" s="43">
        <v>5116.5</v>
      </c>
      <c r="D17" s="19">
        <v>1.4</v>
      </c>
      <c r="E17" s="28">
        <v>0</v>
      </c>
      <c r="F17" s="28">
        <v>3</v>
      </c>
      <c r="G17" s="28">
        <v>154</v>
      </c>
      <c r="H17" s="28">
        <v>189</v>
      </c>
      <c r="I17" s="28">
        <v>8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8">
        <f t="shared" si="0"/>
        <v>354</v>
      </c>
      <c r="R17" s="28">
        <f t="shared" si="1"/>
        <v>29.5</v>
      </c>
      <c r="S17" s="28">
        <f t="shared" si="2"/>
        <v>66.787995655180154</v>
      </c>
      <c r="T17" s="29" t="str">
        <f t="shared" si="7"/>
        <v>No</v>
      </c>
      <c r="U17" s="43">
        <f t="shared" si="3"/>
        <v>1811241</v>
      </c>
      <c r="V17" s="30">
        <f t="shared" si="4"/>
        <v>3.2275985792579502E-2</v>
      </c>
      <c r="W17" s="31">
        <f t="shared" si="8"/>
        <v>0.56026736107172803</v>
      </c>
      <c r="X17" s="32" t="str">
        <f t="shared" si="5"/>
        <v>A</v>
      </c>
      <c r="Y17" s="46">
        <f t="shared" si="6"/>
        <v>0.99288314140767342</v>
      </c>
      <c r="AC17" s="44"/>
      <c r="AD17" s="44"/>
    </row>
    <row r="18" spans="1:30" hidden="1" x14ac:dyDescent="0.35">
      <c r="A18" s="28">
        <v>33857</v>
      </c>
      <c r="B18" s="43">
        <v>3480</v>
      </c>
      <c r="C18" s="43">
        <v>5046</v>
      </c>
      <c r="D18" s="19">
        <v>1.6</v>
      </c>
      <c r="E18" s="28">
        <v>0</v>
      </c>
      <c r="F18" s="28">
        <v>0</v>
      </c>
      <c r="G18" s="28">
        <v>87</v>
      </c>
      <c r="H18" s="28">
        <v>1</v>
      </c>
      <c r="I18" s="28">
        <v>1</v>
      </c>
      <c r="J18" s="28">
        <v>0</v>
      </c>
      <c r="K18" s="28">
        <v>0</v>
      </c>
      <c r="L18" s="28">
        <v>99</v>
      </c>
      <c r="M18" s="28">
        <v>0</v>
      </c>
      <c r="N18" s="28">
        <v>0</v>
      </c>
      <c r="O18" s="28">
        <v>123</v>
      </c>
      <c r="P18" s="28">
        <v>0</v>
      </c>
      <c r="Q18" s="28">
        <f t="shared" si="0"/>
        <v>311</v>
      </c>
      <c r="R18" s="28">
        <f t="shared" si="1"/>
        <v>25.916666666666668</v>
      </c>
      <c r="S18" s="28">
        <f t="shared" si="2"/>
        <v>47.13705034419862</v>
      </c>
      <c r="T18" s="29" t="str">
        <f t="shared" si="7"/>
        <v>No</v>
      </c>
      <c r="U18" s="43">
        <f t="shared" si="3"/>
        <v>1569306</v>
      </c>
      <c r="V18" s="30">
        <f t="shared" si="4"/>
        <v>2.7964748015426866E-2</v>
      </c>
      <c r="W18" s="31">
        <f t="shared" si="8"/>
        <v>0.58823210908715495</v>
      </c>
      <c r="X18" s="32" t="str">
        <f t="shared" si="5"/>
        <v>A</v>
      </c>
      <c r="Y18" s="46">
        <f t="shared" si="6"/>
        <v>0.99288314140767342</v>
      </c>
      <c r="AC18" s="44"/>
      <c r="AD18" s="44"/>
    </row>
    <row r="19" spans="1:30" hidden="1" x14ac:dyDescent="0.35">
      <c r="A19" s="28">
        <v>22170</v>
      </c>
      <c r="B19" s="43">
        <v>899</v>
      </c>
      <c r="C19" s="43">
        <v>1250</v>
      </c>
      <c r="D19" s="19">
        <v>1.7</v>
      </c>
      <c r="E19" s="28">
        <v>0</v>
      </c>
      <c r="F19" s="28">
        <v>0</v>
      </c>
      <c r="G19" s="28">
        <v>5</v>
      </c>
      <c r="H19" s="28">
        <v>23</v>
      </c>
      <c r="I19" s="28">
        <v>678</v>
      </c>
      <c r="J19" s="28">
        <v>450</v>
      </c>
      <c r="K19" s="28">
        <v>34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f t="shared" si="0"/>
        <v>1190</v>
      </c>
      <c r="R19" s="28">
        <f t="shared" si="1"/>
        <v>99.166666666666671</v>
      </c>
      <c r="S19" s="28">
        <f t="shared" si="2"/>
        <v>222.76887057434595</v>
      </c>
      <c r="T19" s="29" t="str">
        <f t="shared" si="7"/>
        <v>No</v>
      </c>
      <c r="U19" s="43">
        <f t="shared" si="3"/>
        <v>1487500</v>
      </c>
      <c r="V19" s="30">
        <f t="shared" si="4"/>
        <v>2.650697994715337E-2</v>
      </c>
      <c r="W19" s="31">
        <f t="shared" si="8"/>
        <v>0.61473908903430829</v>
      </c>
      <c r="X19" s="32" t="str">
        <f t="shared" si="5"/>
        <v>A</v>
      </c>
      <c r="Y19" s="46">
        <f t="shared" si="6"/>
        <v>0.99288314140767342</v>
      </c>
      <c r="AC19" s="44"/>
      <c r="AD19" s="44"/>
    </row>
    <row r="20" spans="1:30" hidden="1" x14ac:dyDescent="0.35">
      <c r="A20" s="28">
        <v>23193</v>
      </c>
      <c r="B20" s="43">
        <v>3203</v>
      </c>
      <c r="C20" s="43">
        <v>4260</v>
      </c>
      <c r="D20" s="19">
        <v>1</v>
      </c>
      <c r="E20" s="28">
        <v>0</v>
      </c>
      <c r="F20" s="28">
        <v>9</v>
      </c>
      <c r="G20" s="28">
        <v>99</v>
      </c>
      <c r="H20" s="28">
        <v>0</v>
      </c>
      <c r="I20" s="28">
        <v>0</v>
      </c>
      <c r="J20" s="28">
        <v>123</v>
      </c>
      <c r="K20" s="28">
        <v>0</v>
      </c>
      <c r="L20" s="28">
        <v>0</v>
      </c>
      <c r="M20" s="28">
        <v>98</v>
      </c>
      <c r="N20" s="28">
        <v>0</v>
      </c>
      <c r="O20" s="28">
        <v>2</v>
      </c>
      <c r="P20" s="28">
        <v>0</v>
      </c>
      <c r="Q20" s="28">
        <f t="shared" si="0"/>
        <v>331</v>
      </c>
      <c r="R20" s="28">
        <f t="shared" si="1"/>
        <v>27.583333333333332</v>
      </c>
      <c r="S20" s="28">
        <f t="shared" si="2"/>
        <v>48.137036078514868</v>
      </c>
      <c r="T20" s="29" t="str">
        <f t="shared" si="7"/>
        <v>No</v>
      </c>
      <c r="U20" s="43">
        <f t="shared" si="3"/>
        <v>1410060</v>
      </c>
      <c r="V20" s="30">
        <f t="shared" si="4"/>
        <v>2.5127013206240726E-2</v>
      </c>
      <c r="W20" s="31">
        <f t="shared" si="8"/>
        <v>0.63986610224054907</v>
      </c>
      <c r="X20" s="32" t="str">
        <f t="shared" si="5"/>
        <v>A</v>
      </c>
      <c r="Y20" s="46">
        <f t="shared" si="6"/>
        <v>0.99288314140767342</v>
      </c>
      <c r="AC20" s="44"/>
      <c r="AD20" s="44"/>
    </row>
    <row r="21" spans="1:30" hidden="1" x14ac:dyDescent="0.35">
      <c r="A21" s="28">
        <v>44632</v>
      </c>
      <c r="B21" s="43">
        <v>959</v>
      </c>
      <c r="C21" s="43">
        <v>1342</v>
      </c>
      <c r="D21" s="19">
        <v>0.5</v>
      </c>
      <c r="E21" s="28">
        <v>2</v>
      </c>
      <c r="F21" s="28">
        <v>2</v>
      </c>
      <c r="G21" s="28">
        <v>444</v>
      </c>
      <c r="H21" s="28">
        <v>467</v>
      </c>
      <c r="I21" s="28">
        <v>9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f t="shared" si="0"/>
        <v>924</v>
      </c>
      <c r="R21" s="28">
        <f t="shared" si="1"/>
        <v>77</v>
      </c>
      <c r="S21" s="28">
        <f t="shared" si="2"/>
        <v>176.8836289253988</v>
      </c>
      <c r="T21" s="29" t="str">
        <f t="shared" si="7"/>
        <v>No</v>
      </c>
      <c r="U21" s="43">
        <f t="shared" si="3"/>
        <v>1240008</v>
      </c>
      <c r="V21" s="30">
        <f t="shared" si="4"/>
        <v>2.2096717438863701E-2</v>
      </c>
      <c r="W21" s="31">
        <f t="shared" si="8"/>
        <v>0.66196281967941273</v>
      </c>
      <c r="X21" s="32" t="str">
        <f t="shared" si="5"/>
        <v>A</v>
      </c>
      <c r="Y21" s="46">
        <f t="shared" si="6"/>
        <v>0.99288314140767342</v>
      </c>
      <c r="AC21" s="44"/>
      <c r="AD21" s="44"/>
    </row>
    <row r="22" spans="1:30" hidden="1" x14ac:dyDescent="0.35">
      <c r="A22" s="28">
        <v>37600</v>
      </c>
      <c r="B22" s="43">
        <v>3629</v>
      </c>
      <c r="C22" s="43">
        <v>4935</v>
      </c>
      <c r="D22" s="19">
        <v>1.3</v>
      </c>
      <c r="E22" s="28">
        <v>7</v>
      </c>
      <c r="F22" s="28">
        <v>4</v>
      </c>
      <c r="G22" s="28">
        <v>46</v>
      </c>
      <c r="H22" s="28">
        <v>0</v>
      </c>
      <c r="I22" s="28">
        <v>0</v>
      </c>
      <c r="J22" s="28">
        <v>0</v>
      </c>
      <c r="K22" s="28">
        <v>0</v>
      </c>
      <c r="L22" s="28">
        <v>78</v>
      </c>
      <c r="M22" s="28">
        <v>0</v>
      </c>
      <c r="N22" s="28">
        <v>0</v>
      </c>
      <c r="O22" s="28">
        <v>99</v>
      </c>
      <c r="P22" s="28">
        <v>0</v>
      </c>
      <c r="Q22" s="28">
        <f t="shared" si="0"/>
        <v>234</v>
      </c>
      <c r="R22" s="28">
        <f t="shared" si="1"/>
        <v>19.5</v>
      </c>
      <c r="S22" s="28">
        <f t="shared" si="2"/>
        <v>35.036344765763658</v>
      </c>
      <c r="T22" s="29" t="str">
        <f t="shared" si="7"/>
        <v>No</v>
      </c>
      <c r="U22" s="43">
        <f t="shared" si="3"/>
        <v>1154790</v>
      </c>
      <c r="V22" s="30">
        <f t="shared" si="4"/>
        <v>2.0578148150032428E-2</v>
      </c>
      <c r="W22" s="31">
        <f t="shared" si="8"/>
        <v>0.68254096782944518</v>
      </c>
      <c r="X22" s="32" t="str">
        <f t="shared" si="5"/>
        <v>A</v>
      </c>
      <c r="Y22" s="46">
        <f t="shared" si="6"/>
        <v>0.99288314140767342</v>
      </c>
      <c r="AC22" s="44"/>
      <c r="AD22" s="44"/>
    </row>
    <row r="23" spans="1:30" hidden="1" x14ac:dyDescent="0.35">
      <c r="A23" s="28">
        <v>26867</v>
      </c>
      <c r="B23" s="43">
        <v>3361</v>
      </c>
      <c r="C23" s="43">
        <v>4941</v>
      </c>
      <c r="D23" s="19">
        <v>1.8</v>
      </c>
      <c r="E23" s="28">
        <v>4</v>
      </c>
      <c r="F23" s="28">
        <v>1</v>
      </c>
      <c r="G23" s="28">
        <v>67</v>
      </c>
      <c r="H23" s="28">
        <v>0</v>
      </c>
      <c r="I23" s="28">
        <v>1</v>
      </c>
      <c r="J23" s="28">
        <v>1</v>
      </c>
      <c r="K23" s="28">
        <v>0</v>
      </c>
      <c r="L23" s="28">
        <v>88</v>
      </c>
      <c r="M23" s="28">
        <v>4</v>
      </c>
      <c r="N23" s="28">
        <v>3</v>
      </c>
      <c r="O23" s="28">
        <v>49</v>
      </c>
      <c r="P23" s="28">
        <v>3</v>
      </c>
      <c r="Q23" s="28">
        <f t="shared" si="0"/>
        <v>221</v>
      </c>
      <c r="R23" s="28">
        <f t="shared" si="1"/>
        <v>18.416666666666668</v>
      </c>
      <c r="S23" s="28">
        <f t="shared" si="2"/>
        <v>31.067253538480713</v>
      </c>
      <c r="T23" s="29" t="str">
        <f t="shared" si="7"/>
        <v>No</v>
      </c>
      <c r="U23" s="43">
        <f t="shared" si="3"/>
        <v>1091961</v>
      </c>
      <c r="V23" s="30">
        <f t="shared" si="4"/>
        <v>1.9458546776520026E-2</v>
      </c>
      <c r="W23" s="31">
        <f t="shared" si="8"/>
        <v>0.70199951460596521</v>
      </c>
      <c r="X23" s="32" t="str">
        <f t="shared" si="5"/>
        <v>A</v>
      </c>
      <c r="Y23" s="46">
        <f t="shared" si="6"/>
        <v>0.99288314140767342</v>
      </c>
      <c r="AC23" s="44"/>
      <c r="AD23" s="44"/>
    </row>
    <row r="24" spans="1:30" x14ac:dyDescent="0.35">
      <c r="A24" s="28">
        <v>22169</v>
      </c>
      <c r="B24" s="43">
        <v>797</v>
      </c>
      <c r="C24" s="43">
        <v>1060</v>
      </c>
      <c r="D24" s="19">
        <v>0.4</v>
      </c>
      <c r="E24" s="28">
        <v>103</v>
      </c>
      <c r="F24" s="28">
        <v>87</v>
      </c>
      <c r="G24" s="28">
        <v>99</v>
      </c>
      <c r="H24" s="28">
        <v>102</v>
      </c>
      <c r="I24" s="28">
        <v>80</v>
      </c>
      <c r="J24" s="28">
        <v>70</v>
      </c>
      <c r="K24" s="28">
        <v>60</v>
      </c>
      <c r="L24" s="28">
        <v>78</v>
      </c>
      <c r="M24" s="28">
        <v>89</v>
      </c>
      <c r="N24" s="28">
        <v>67</v>
      </c>
      <c r="O24" s="28">
        <v>76</v>
      </c>
      <c r="P24" s="28">
        <v>85</v>
      </c>
      <c r="Q24" s="28">
        <f t="shared" si="0"/>
        <v>996</v>
      </c>
      <c r="R24" s="28">
        <f t="shared" si="1"/>
        <v>83</v>
      </c>
      <c r="S24" s="28">
        <f t="shared" si="2"/>
        <v>13.849844108082292</v>
      </c>
      <c r="T24" s="29" t="str">
        <f t="shared" si="7"/>
        <v>Yes</v>
      </c>
      <c r="U24" s="43">
        <f t="shared" si="3"/>
        <v>1055760</v>
      </c>
      <c r="V24" s="30">
        <f t="shared" si="4"/>
        <v>1.881345152874396E-2</v>
      </c>
      <c r="W24" s="31">
        <f t="shared" si="8"/>
        <v>0.72081296613470913</v>
      </c>
      <c r="X24" s="32" t="str">
        <f t="shared" si="5"/>
        <v>A</v>
      </c>
      <c r="Y24" s="46">
        <f t="shared" si="6"/>
        <v>0.99288314140767342</v>
      </c>
      <c r="Z24" s="1">
        <f>ROUND(SQRT(2*Q24*$F$2/(B24*$F$1)),0)</f>
        <v>43</v>
      </c>
      <c r="AA24" s="1">
        <f>ROUND(NORMSINV(Y24)*SQRT(D24)*S24,0)</f>
        <v>21</v>
      </c>
      <c r="AB24" s="1">
        <f>Z24/2+AA24</f>
        <v>42.5</v>
      </c>
      <c r="AC24" s="44">
        <f>AB24*B24*$F$1</f>
        <v>4403.4250000000002</v>
      </c>
      <c r="AD24" s="44">
        <f>Q24*(1-Y24)*$F$3*(C24-B24)</f>
        <v>652.48640608996698</v>
      </c>
    </row>
    <row r="25" spans="1:30" x14ac:dyDescent="0.35">
      <c r="A25" s="28">
        <v>20071</v>
      </c>
      <c r="B25" s="43">
        <v>895</v>
      </c>
      <c r="C25" s="43">
        <v>1190</v>
      </c>
      <c r="D25" s="19">
        <v>1.6</v>
      </c>
      <c r="E25" s="28">
        <v>50</v>
      </c>
      <c r="F25" s="28">
        <v>66</v>
      </c>
      <c r="G25" s="28">
        <v>67</v>
      </c>
      <c r="H25" s="28">
        <v>87</v>
      </c>
      <c r="I25" s="28">
        <v>86</v>
      </c>
      <c r="J25" s="28">
        <v>83</v>
      </c>
      <c r="K25" s="28">
        <v>76</v>
      </c>
      <c r="L25" s="28">
        <v>75</v>
      </c>
      <c r="M25" s="28">
        <v>54</v>
      </c>
      <c r="N25" s="28">
        <v>64</v>
      </c>
      <c r="O25" s="28">
        <v>75</v>
      </c>
      <c r="P25" s="28">
        <v>82</v>
      </c>
      <c r="Q25" s="28">
        <f t="shared" si="0"/>
        <v>865</v>
      </c>
      <c r="R25" s="28">
        <f t="shared" si="1"/>
        <v>72.083333333333329</v>
      </c>
      <c r="S25" s="28">
        <f t="shared" si="2"/>
        <v>12.094013044277375</v>
      </c>
      <c r="T25" s="29" t="str">
        <f t="shared" si="7"/>
        <v>Yes</v>
      </c>
      <c r="U25" s="43">
        <f t="shared" si="3"/>
        <v>1029350</v>
      </c>
      <c r="V25" s="30">
        <f t="shared" si="4"/>
        <v>1.8342830123430132E-2</v>
      </c>
      <c r="W25" s="31">
        <f t="shared" si="8"/>
        <v>0.73915579625813921</v>
      </c>
      <c r="X25" s="32" t="str">
        <f t="shared" si="5"/>
        <v>A</v>
      </c>
      <c r="Y25" s="46">
        <f t="shared" si="6"/>
        <v>0.99288314140767342</v>
      </c>
      <c r="Z25" s="1">
        <f>ROUND(SQRT(2*Q25*$F$2/(B25*$F$1)),0)</f>
        <v>38</v>
      </c>
      <c r="AA25" s="1">
        <f>ROUND(NORMSINV(Y25)*SQRT(D25)*S25,0)</f>
        <v>37</v>
      </c>
      <c r="AB25" s="1">
        <f>Z25/2+AA25</f>
        <v>56</v>
      </c>
      <c r="AC25" s="44">
        <f>AB25*B25*$F$1</f>
        <v>6515.6</v>
      </c>
      <c r="AD25" s="44">
        <f>Q25*(1-Y25)*$F$3*(C25-B25)</f>
        <v>635.61553695392729</v>
      </c>
    </row>
    <row r="26" spans="1:30" hidden="1" x14ac:dyDescent="0.35">
      <c r="A26" s="28">
        <v>33854</v>
      </c>
      <c r="B26" s="43">
        <v>3489</v>
      </c>
      <c r="C26" s="43">
        <v>4920</v>
      </c>
      <c r="D26" s="19">
        <v>1.2</v>
      </c>
      <c r="E26" s="28">
        <v>1</v>
      </c>
      <c r="F26" s="28">
        <v>1</v>
      </c>
      <c r="G26" s="28">
        <v>55</v>
      </c>
      <c r="H26" s="28">
        <v>0</v>
      </c>
      <c r="I26" s="28">
        <v>3</v>
      </c>
      <c r="J26" s="28">
        <v>0</v>
      </c>
      <c r="K26" s="28">
        <v>0</v>
      </c>
      <c r="L26" s="28">
        <v>66</v>
      </c>
      <c r="M26" s="28">
        <v>0</v>
      </c>
      <c r="N26" s="28">
        <v>0</v>
      </c>
      <c r="O26" s="28">
        <v>77</v>
      </c>
      <c r="P26" s="28">
        <v>0</v>
      </c>
      <c r="Q26" s="28">
        <f t="shared" si="0"/>
        <v>203</v>
      </c>
      <c r="R26" s="28">
        <f t="shared" si="1"/>
        <v>16.916666666666668</v>
      </c>
      <c r="S26" s="28">
        <f t="shared" si="2"/>
        <v>29.980170214003223</v>
      </c>
      <c r="T26" s="29" t="str">
        <f t="shared" si="7"/>
        <v>No</v>
      </c>
      <c r="U26" s="43">
        <f t="shared" si="3"/>
        <v>998760</v>
      </c>
      <c r="V26" s="30">
        <f t="shared" si="4"/>
        <v>1.7797721876987495E-2</v>
      </c>
      <c r="W26" s="31">
        <f t="shared" si="8"/>
        <v>0.75695351813512668</v>
      </c>
      <c r="X26" s="32" t="str">
        <f t="shared" si="5"/>
        <v>A</v>
      </c>
      <c r="Y26" s="46">
        <f t="shared" si="6"/>
        <v>0.99288314140767342</v>
      </c>
      <c r="AC26" s="44"/>
      <c r="AD26" s="44"/>
    </row>
    <row r="27" spans="1:30" hidden="1" x14ac:dyDescent="0.35">
      <c r="A27" s="28">
        <v>29060</v>
      </c>
      <c r="B27" s="43">
        <v>3761</v>
      </c>
      <c r="C27" s="43">
        <v>5077.5</v>
      </c>
      <c r="D27" s="19">
        <v>0.3</v>
      </c>
      <c r="E27" s="28">
        <v>0</v>
      </c>
      <c r="F27" s="28">
        <v>0</v>
      </c>
      <c r="G27" s="28">
        <v>89</v>
      </c>
      <c r="H27" s="28">
        <v>99</v>
      </c>
      <c r="I27" s="28">
        <v>3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f t="shared" si="0"/>
        <v>191</v>
      </c>
      <c r="R27" s="28">
        <f t="shared" si="1"/>
        <v>15.916666666666666</v>
      </c>
      <c r="S27" s="28">
        <f t="shared" si="2"/>
        <v>36.545011681320872</v>
      </c>
      <c r="T27" s="29" t="str">
        <f t="shared" si="7"/>
        <v>No</v>
      </c>
      <c r="U27" s="43">
        <f t="shared" si="3"/>
        <v>969802.5</v>
      </c>
      <c r="V27" s="30">
        <f t="shared" si="4"/>
        <v>1.7281704484167531E-2</v>
      </c>
      <c r="W27" s="31">
        <f t="shared" si="8"/>
        <v>0.77423522261929423</v>
      </c>
      <c r="X27" s="32" t="str">
        <f t="shared" si="5"/>
        <v>A</v>
      </c>
      <c r="Y27" s="46">
        <f t="shared" si="6"/>
        <v>0.99288314140767342</v>
      </c>
      <c r="AC27" s="44"/>
      <c r="AD27" s="44"/>
    </row>
    <row r="28" spans="1:30" x14ac:dyDescent="0.35">
      <c r="A28" s="28">
        <v>20072</v>
      </c>
      <c r="B28" s="43">
        <v>870</v>
      </c>
      <c r="C28" s="43">
        <v>1140</v>
      </c>
      <c r="D28" s="19">
        <v>2</v>
      </c>
      <c r="E28" s="28">
        <v>61</v>
      </c>
      <c r="F28" s="28">
        <v>76</v>
      </c>
      <c r="G28" s="28">
        <v>56</v>
      </c>
      <c r="H28" s="28">
        <v>87</v>
      </c>
      <c r="I28" s="28">
        <v>56</v>
      </c>
      <c r="J28" s="28">
        <v>76</v>
      </c>
      <c r="K28" s="28">
        <v>48</v>
      </c>
      <c r="L28" s="28">
        <v>69</v>
      </c>
      <c r="M28" s="28">
        <v>70</v>
      </c>
      <c r="N28" s="28">
        <v>80</v>
      </c>
      <c r="O28" s="28">
        <v>98</v>
      </c>
      <c r="P28" s="28">
        <v>65</v>
      </c>
      <c r="Q28" s="28">
        <f t="shared" si="0"/>
        <v>842</v>
      </c>
      <c r="R28" s="28">
        <f t="shared" si="1"/>
        <v>70.166666666666671</v>
      </c>
      <c r="S28" s="28">
        <f t="shared" si="2"/>
        <v>14.230781830776245</v>
      </c>
      <c r="T28" s="29" t="str">
        <f t="shared" si="7"/>
        <v>Yes</v>
      </c>
      <c r="U28" s="43">
        <f t="shared" si="3"/>
        <v>959880</v>
      </c>
      <c r="V28" s="30">
        <f t="shared" si="4"/>
        <v>1.7104887335578873E-2</v>
      </c>
      <c r="W28" s="31">
        <f t="shared" si="8"/>
        <v>0.79134010995487314</v>
      </c>
      <c r="X28" s="32" t="str">
        <f t="shared" si="5"/>
        <v>A</v>
      </c>
      <c r="Y28" s="46">
        <f t="shared" si="6"/>
        <v>0.99288314140767342</v>
      </c>
      <c r="Z28" s="1">
        <f>ROUND(SQRT(2*Q28*$F$2/(B28*$F$1)),0)</f>
        <v>38</v>
      </c>
      <c r="AA28" s="1">
        <f>ROUND(NORMSINV(Y28)*SQRT(D28)*S28,0)</f>
        <v>49</v>
      </c>
      <c r="AB28" s="1">
        <f>Z28/2+AA28</f>
        <v>68</v>
      </c>
      <c r="AC28" s="44">
        <f>AB28*B28*$F$1</f>
        <v>7690.8</v>
      </c>
      <c r="AD28" s="44">
        <f>Q28*(1-Y28)*$F$3*(C28-B28)</f>
        <v>566.28132133283361</v>
      </c>
    </row>
    <row r="29" spans="1:30" hidden="1" x14ac:dyDescent="0.35">
      <c r="A29" s="28">
        <v>29990</v>
      </c>
      <c r="B29" s="43">
        <v>3469</v>
      </c>
      <c r="C29" s="43">
        <v>4995</v>
      </c>
      <c r="D29" s="19">
        <v>0.7</v>
      </c>
      <c r="E29" s="28">
        <v>1</v>
      </c>
      <c r="F29" s="28">
        <v>2</v>
      </c>
      <c r="G29" s="28">
        <v>78</v>
      </c>
      <c r="H29" s="28">
        <v>4</v>
      </c>
      <c r="I29" s="28">
        <v>2</v>
      </c>
      <c r="J29" s="28">
        <v>4</v>
      </c>
      <c r="K29" s="28">
        <v>6</v>
      </c>
      <c r="L29" s="28">
        <v>69</v>
      </c>
      <c r="M29" s="28">
        <v>4</v>
      </c>
      <c r="N29" s="28">
        <v>0</v>
      </c>
      <c r="O29" s="28">
        <v>0</v>
      </c>
      <c r="P29" s="28">
        <v>0</v>
      </c>
      <c r="Q29" s="28">
        <f t="shared" si="0"/>
        <v>170</v>
      </c>
      <c r="R29" s="28">
        <f t="shared" si="1"/>
        <v>14.166666666666666</v>
      </c>
      <c r="S29" s="28">
        <f t="shared" si="2"/>
        <v>27.846440390546192</v>
      </c>
      <c r="T29" s="29" t="str">
        <f t="shared" si="7"/>
        <v>No</v>
      </c>
      <c r="U29" s="43">
        <f t="shared" si="3"/>
        <v>849150</v>
      </c>
      <c r="V29" s="30">
        <f t="shared" si="4"/>
        <v>1.5131698838403552E-2</v>
      </c>
      <c r="W29" s="31">
        <f t="shared" si="8"/>
        <v>0.80647180879327673</v>
      </c>
      <c r="X29" s="32" t="str">
        <f t="shared" si="5"/>
        <v>B</v>
      </c>
      <c r="Y29" s="46">
        <f t="shared" si="6"/>
        <v>0.99284108501557022</v>
      </c>
      <c r="AC29" s="44"/>
      <c r="AD29" s="44"/>
    </row>
    <row r="30" spans="1:30" x14ac:dyDescent="0.35">
      <c r="A30" s="28">
        <v>35627</v>
      </c>
      <c r="B30" s="43">
        <v>3698</v>
      </c>
      <c r="C30" s="43">
        <v>4845</v>
      </c>
      <c r="D30" s="19">
        <v>0.8</v>
      </c>
      <c r="E30" s="28">
        <v>20</v>
      </c>
      <c r="F30" s="28">
        <v>11</v>
      </c>
      <c r="G30" s="28">
        <v>5</v>
      </c>
      <c r="H30" s="28">
        <v>21</v>
      </c>
      <c r="I30" s="28">
        <v>6</v>
      </c>
      <c r="J30" s="28">
        <v>20</v>
      </c>
      <c r="K30" s="28">
        <v>3</v>
      </c>
      <c r="L30" s="28">
        <v>20</v>
      </c>
      <c r="M30" s="28">
        <v>17</v>
      </c>
      <c r="N30" s="28">
        <v>6</v>
      </c>
      <c r="O30" s="28">
        <v>3</v>
      </c>
      <c r="P30" s="28">
        <v>15</v>
      </c>
      <c r="Q30" s="28">
        <f t="shared" si="0"/>
        <v>147</v>
      </c>
      <c r="R30" s="28">
        <f t="shared" si="1"/>
        <v>12.25</v>
      </c>
      <c r="S30" s="28">
        <f t="shared" si="2"/>
        <v>7.3252365770049304</v>
      </c>
      <c r="T30" s="29" t="str">
        <f t="shared" si="7"/>
        <v>Yes</v>
      </c>
      <c r="U30" s="43">
        <f t="shared" si="3"/>
        <v>712215</v>
      </c>
      <c r="V30" s="30">
        <f t="shared" si="4"/>
        <v>1.2691541998697032E-2</v>
      </c>
      <c r="W30" s="31">
        <f t="shared" si="8"/>
        <v>0.81916335079197378</v>
      </c>
      <c r="X30" s="32" t="str">
        <f t="shared" si="5"/>
        <v>B</v>
      </c>
      <c r="Y30" s="46">
        <f t="shared" si="6"/>
        <v>0.99284108501557022</v>
      </c>
      <c r="Z30" s="1">
        <f>ROUND(SQRT(2*Q30*$F$2/(B30*$F$1)),0)</f>
        <v>8</v>
      </c>
      <c r="AA30" s="1">
        <f>ROUND(NORMSINV(Y30)*SQRT(D30)*S30,0)</f>
        <v>16</v>
      </c>
      <c r="AB30" s="1">
        <f>Z30/2+AA30</f>
        <v>20</v>
      </c>
      <c r="AC30" s="44">
        <f>AB30*B30*$F$1</f>
        <v>9614.8000000000011</v>
      </c>
      <c r="AD30" s="44">
        <f>Q30*(1-Y30)*$F$3*(C30-B30)</f>
        <v>422.47012381340204</v>
      </c>
    </row>
    <row r="31" spans="1:30" hidden="1" x14ac:dyDescent="0.35">
      <c r="A31" s="28">
        <v>20370</v>
      </c>
      <c r="B31" s="43">
        <v>874</v>
      </c>
      <c r="C31" s="43">
        <v>1250</v>
      </c>
      <c r="D31" s="19">
        <v>0.7</v>
      </c>
      <c r="E31" s="28">
        <v>0</v>
      </c>
      <c r="F31" s="28">
        <v>0</v>
      </c>
      <c r="G31" s="28">
        <v>0</v>
      </c>
      <c r="H31" s="28">
        <v>0</v>
      </c>
      <c r="I31" s="28">
        <v>256</v>
      </c>
      <c r="J31" s="28">
        <v>199</v>
      </c>
      <c r="K31" s="28">
        <v>109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f t="shared" si="0"/>
        <v>564</v>
      </c>
      <c r="R31" s="28">
        <f t="shared" si="1"/>
        <v>47</v>
      </c>
      <c r="S31" s="28">
        <f t="shared" si="2"/>
        <v>90.70932597137859</v>
      </c>
      <c r="T31" s="29" t="str">
        <f t="shared" si="7"/>
        <v>No</v>
      </c>
      <c r="U31" s="43">
        <f t="shared" si="3"/>
        <v>705000</v>
      </c>
      <c r="V31" s="30">
        <f t="shared" si="4"/>
        <v>1.2562972008566806E-2</v>
      </c>
      <c r="W31" s="31">
        <f t="shared" si="8"/>
        <v>0.8317263228005406</v>
      </c>
      <c r="X31" s="32" t="str">
        <f t="shared" si="5"/>
        <v>B</v>
      </c>
      <c r="Y31" s="46">
        <f t="shared" si="6"/>
        <v>0.99284108501557022</v>
      </c>
      <c r="AC31" s="44"/>
      <c r="AD31" s="44"/>
    </row>
    <row r="32" spans="1:30" x14ac:dyDescent="0.35">
      <c r="A32" s="28">
        <v>20058</v>
      </c>
      <c r="B32" s="43">
        <v>908</v>
      </c>
      <c r="C32" s="43">
        <v>1190</v>
      </c>
      <c r="D32" s="19">
        <v>0.1</v>
      </c>
      <c r="E32" s="28">
        <v>11</v>
      </c>
      <c r="F32" s="28">
        <v>44</v>
      </c>
      <c r="G32" s="28">
        <v>54</v>
      </c>
      <c r="H32" s="28">
        <v>65</v>
      </c>
      <c r="I32" s="28">
        <v>45</v>
      </c>
      <c r="J32" s="28">
        <v>35</v>
      </c>
      <c r="K32" s="28">
        <v>46</v>
      </c>
      <c r="L32" s="28">
        <v>47</v>
      </c>
      <c r="M32" s="28">
        <v>58</v>
      </c>
      <c r="N32" s="28">
        <v>76</v>
      </c>
      <c r="O32" s="28">
        <v>44</v>
      </c>
      <c r="P32" s="28">
        <v>55</v>
      </c>
      <c r="Q32" s="28">
        <f t="shared" si="0"/>
        <v>580</v>
      </c>
      <c r="R32" s="28">
        <f t="shared" si="1"/>
        <v>48.333333333333336</v>
      </c>
      <c r="S32" s="28">
        <f t="shared" si="2"/>
        <v>16.069922969399212</v>
      </c>
      <c r="T32" s="29" t="str">
        <f t="shared" si="7"/>
        <v>Yes</v>
      </c>
      <c r="U32" s="43">
        <f t="shared" si="3"/>
        <v>690200</v>
      </c>
      <c r="V32" s="30">
        <f t="shared" si="4"/>
        <v>1.2299238695479163E-2</v>
      </c>
      <c r="W32" s="31">
        <f t="shared" si="8"/>
        <v>0.84402556149601971</v>
      </c>
      <c r="X32" s="32" t="str">
        <f t="shared" si="5"/>
        <v>B</v>
      </c>
      <c r="Y32" s="46">
        <f t="shared" si="6"/>
        <v>0.99284108501557022</v>
      </c>
      <c r="Z32" s="1">
        <f>ROUND(SQRT(2*Q32*$F$2/(B32*$F$1)),0)</f>
        <v>31</v>
      </c>
      <c r="AA32" s="1">
        <f>ROUND(NORMSINV(Y32)*SQRT(D32)*S32,0)</f>
        <v>12</v>
      </c>
      <c r="AB32" s="1">
        <f>Z32/2+AA32</f>
        <v>27.5</v>
      </c>
      <c r="AC32" s="44">
        <f>AB32*B32*$F$1</f>
        <v>3246.1</v>
      </c>
      <c r="AD32" s="44">
        <f>Q32*(1-Y32)*$F$3*(C32-B32)</f>
        <v>409.81924719866697</v>
      </c>
    </row>
    <row r="33" spans="1:30" x14ac:dyDescent="0.35">
      <c r="A33" s="28">
        <v>49813</v>
      </c>
      <c r="B33" s="43">
        <v>3452</v>
      </c>
      <c r="C33" s="43">
        <v>4867.5</v>
      </c>
      <c r="D33" s="19">
        <v>0.2</v>
      </c>
      <c r="E33" s="28">
        <v>14</v>
      </c>
      <c r="F33" s="28">
        <v>7</v>
      </c>
      <c r="G33" s="28">
        <v>12</v>
      </c>
      <c r="H33" s="28">
        <v>15</v>
      </c>
      <c r="I33" s="28">
        <v>12</v>
      </c>
      <c r="J33" s="28">
        <v>11</v>
      </c>
      <c r="K33" s="28">
        <v>4</v>
      </c>
      <c r="L33" s="28">
        <v>14</v>
      </c>
      <c r="M33" s="28">
        <v>14</v>
      </c>
      <c r="N33" s="28">
        <v>13</v>
      </c>
      <c r="O33" s="28">
        <v>5</v>
      </c>
      <c r="P33" s="28">
        <v>12</v>
      </c>
      <c r="Q33" s="28">
        <f t="shared" si="0"/>
        <v>133</v>
      </c>
      <c r="R33" s="28">
        <f t="shared" si="1"/>
        <v>11.083333333333334</v>
      </c>
      <c r="S33" s="28">
        <f t="shared" si="2"/>
        <v>3.7040109300185624</v>
      </c>
      <c r="T33" s="29" t="str">
        <f t="shared" si="7"/>
        <v>Yes</v>
      </c>
      <c r="U33" s="43">
        <f t="shared" si="3"/>
        <v>647377.5</v>
      </c>
      <c r="V33" s="30">
        <f t="shared" si="4"/>
        <v>1.1536149519824054E-2</v>
      </c>
      <c r="W33" s="31">
        <f t="shared" si="8"/>
        <v>0.85556171101584377</v>
      </c>
      <c r="X33" s="32" t="str">
        <f t="shared" si="5"/>
        <v>B</v>
      </c>
      <c r="Y33" s="46">
        <f t="shared" si="6"/>
        <v>0.99284108501557022</v>
      </c>
      <c r="Z33" s="1">
        <f>ROUND(SQRT(2*Q33*$F$2/(B33*$F$1)),0)</f>
        <v>8</v>
      </c>
      <c r="AA33" s="1">
        <f>ROUND(NORMSINV(Y33)*SQRT(D33)*S33,0)</f>
        <v>4</v>
      </c>
      <c r="AB33" s="1">
        <f>Z33/2+AA33</f>
        <v>8</v>
      </c>
      <c r="AC33" s="44">
        <f>AB33*B33*$F$1</f>
        <v>3590.08</v>
      </c>
      <c r="AD33" s="44">
        <f>Q33*(1-Y33)*$F$3*(C33-B33)</f>
        <v>471.71182566942923</v>
      </c>
    </row>
    <row r="34" spans="1:30" x14ac:dyDescent="0.35">
      <c r="A34" s="28">
        <v>20597</v>
      </c>
      <c r="B34" s="43">
        <v>776</v>
      </c>
      <c r="C34" s="43">
        <v>1040</v>
      </c>
      <c r="D34" s="19">
        <v>1.4</v>
      </c>
      <c r="E34" s="28">
        <v>64</v>
      </c>
      <c r="F34" s="28">
        <v>34</v>
      </c>
      <c r="G34" s="28">
        <v>56</v>
      </c>
      <c r="H34" s="28">
        <v>65</v>
      </c>
      <c r="I34" s="28">
        <v>63</v>
      </c>
      <c r="J34" s="28">
        <v>55</v>
      </c>
      <c r="K34" s="28">
        <v>63</v>
      </c>
      <c r="L34" s="28">
        <v>35</v>
      </c>
      <c r="M34" s="28">
        <v>54</v>
      </c>
      <c r="N34" s="28">
        <v>44</v>
      </c>
      <c r="O34" s="28">
        <v>30</v>
      </c>
      <c r="P34" s="28">
        <v>54</v>
      </c>
      <c r="Q34" s="28">
        <f t="shared" si="0"/>
        <v>617</v>
      </c>
      <c r="R34" s="28">
        <f t="shared" si="1"/>
        <v>51.416666666666664</v>
      </c>
      <c r="S34" s="28">
        <f t="shared" si="2"/>
        <v>12.594792093511826</v>
      </c>
      <c r="T34" s="29" t="str">
        <f t="shared" si="7"/>
        <v>Yes</v>
      </c>
      <c r="U34" s="43">
        <f t="shared" si="3"/>
        <v>641680</v>
      </c>
      <c r="V34" s="30">
        <f t="shared" si="4"/>
        <v>1.1434621104194537E-2</v>
      </c>
      <c r="W34" s="31">
        <f t="shared" si="8"/>
        <v>0.86699633212003835</v>
      </c>
      <c r="X34" s="32" t="str">
        <f t="shared" si="5"/>
        <v>B</v>
      </c>
      <c r="Y34" s="46">
        <f t="shared" si="6"/>
        <v>0.99284108501557022</v>
      </c>
      <c r="Z34" s="1">
        <f>ROUND(SQRT(2*Q34*$F$2/(B34*$F$1)),0)</f>
        <v>34</v>
      </c>
      <c r="AA34" s="1">
        <f>ROUND(NORMSINV(Y34)*SQRT(D34)*S34,0)</f>
        <v>36</v>
      </c>
      <c r="AB34" s="1">
        <f>Z34/2+AA34</f>
        <v>53</v>
      </c>
      <c r="AC34" s="44">
        <f>AB34*B34*$F$1</f>
        <v>5346.64</v>
      </c>
      <c r="AD34" s="44">
        <f>Q34*(1-Y34)*$F$3*(C34-B34)</f>
        <v>408.13547039432905</v>
      </c>
    </row>
    <row r="35" spans="1:30" x14ac:dyDescent="0.35">
      <c r="A35" s="28">
        <v>29095</v>
      </c>
      <c r="B35" s="43">
        <v>3154</v>
      </c>
      <c r="C35" s="43">
        <v>4668</v>
      </c>
      <c r="D35" s="19">
        <v>0.8</v>
      </c>
      <c r="E35" s="28">
        <v>13</v>
      </c>
      <c r="F35" s="28">
        <v>7</v>
      </c>
      <c r="G35" s="28">
        <v>6</v>
      </c>
      <c r="H35" s="28">
        <v>10</v>
      </c>
      <c r="I35" s="28">
        <v>12</v>
      </c>
      <c r="J35" s="28">
        <v>12</v>
      </c>
      <c r="K35" s="28">
        <v>8</v>
      </c>
      <c r="L35" s="28">
        <v>8</v>
      </c>
      <c r="M35" s="28">
        <v>12</v>
      </c>
      <c r="N35" s="28">
        <v>7</v>
      </c>
      <c r="O35" s="28">
        <v>11</v>
      </c>
      <c r="P35" s="28">
        <v>13</v>
      </c>
      <c r="Q35" s="28">
        <f t="shared" si="0"/>
        <v>119</v>
      </c>
      <c r="R35" s="28">
        <f t="shared" si="1"/>
        <v>9.9166666666666661</v>
      </c>
      <c r="S35" s="28">
        <f t="shared" si="2"/>
        <v>2.5746432527221876</v>
      </c>
      <c r="T35" s="29" t="str">
        <f t="shared" si="7"/>
        <v>Yes</v>
      </c>
      <c r="U35" s="43">
        <f t="shared" si="3"/>
        <v>555492</v>
      </c>
      <c r="V35" s="30">
        <f t="shared" si="4"/>
        <v>9.8987665914649532E-3</v>
      </c>
      <c r="W35" s="31">
        <f t="shared" si="8"/>
        <v>0.87689509871150328</v>
      </c>
      <c r="X35" s="32" t="str">
        <f t="shared" si="5"/>
        <v>B</v>
      </c>
      <c r="Y35" s="46">
        <f t="shared" si="6"/>
        <v>0.99284108501557022</v>
      </c>
      <c r="Z35" s="1">
        <f>ROUND(SQRT(2*Q35*$F$2/(B35*$F$1)),0)</f>
        <v>7</v>
      </c>
      <c r="AA35" s="1">
        <f>ROUND(NORMSINV(Y35)*SQRT(D35)*S35,0)</f>
        <v>6</v>
      </c>
      <c r="AB35" s="1">
        <f>Z35/2+AA35</f>
        <v>9.5</v>
      </c>
      <c r="AC35" s="44">
        <f>AB35*B35*$F$1</f>
        <v>3895.19</v>
      </c>
      <c r="AD35" s="44">
        <f>Q35*(1-Y35)*$F$3*(C35-B35)</f>
        <v>451.42757697967124</v>
      </c>
    </row>
    <row r="36" spans="1:30" x14ac:dyDescent="0.35">
      <c r="A36" s="28">
        <v>20369</v>
      </c>
      <c r="B36" s="43">
        <v>768</v>
      </c>
      <c r="C36" s="43">
        <v>1060</v>
      </c>
      <c r="D36" s="19">
        <v>0.7</v>
      </c>
      <c r="E36" s="28">
        <v>26</v>
      </c>
      <c r="F36" s="28">
        <v>59</v>
      </c>
      <c r="G36" s="28">
        <v>58</v>
      </c>
      <c r="H36" s="28">
        <v>53</v>
      </c>
      <c r="I36" s="28">
        <v>57</v>
      </c>
      <c r="J36" s="28">
        <v>40</v>
      </c>
      <c r="K36" s="28">
        <v>33</v>
      </c>
      <c r="L36" s="28">
        <v>23</v>
      </c>
      <c r="M36" s="28">
        <v>32</v>
      </c>
      <c r="N36" s="28">
        <v>42</v>
      </c>
      <c r="O36" s="28">
        <v>48</v>
      </c>
      <c r="P36" s="28">
        <v>54</v>
      </c>
      <c r="Q36" s="28">
        <f t="shared" si="0"/>
        <v>525</v>
      </c>
      <c r="R36" s="28">
        <f t="shared" si="1"/>
        <v>43.75</v>
      </c>
      <c r="S36" s="28">
        <f t="shared" si="2"/>
        <v>12.920209680257445</v>
      </c>
      <c r="T36" s="29" t="str">
        <f t="shared" si="7"/>
        <v>Yes</v>
      </c>
      <c r="U36" s="43">
        <f t="shared" si="3"/>
        <v>556500</v>
      </c>
      <c r="V36" s="30">
        <f t="shared" si="4"/>
        <v>9.9167289684644368E-3</v>
      </c>
      <c r="W36" s="31">
        <f t="shared" si="8"/>
        <v>0.88681182767996769</v>
      </c>
      <c r="X36" s="32" t="str">
        <f t="shared" si="5"/>
        <v>B</v>
      </c>
      <c r="Y36" s="46">
        <f t="shared" si="6"/>
        <v>0.99284108501557022</v>
      </c>
      <c r="Z36" s="1">
        <f>ROUND(SQRT(2*Q36*$F$2/(B36*$F$1)),0)</f>
        <v>32</v>
      </c>
      <c r="AA36" s="1">
        <f>ROUND(NORMSINV(Y36)*SQRT(D36)*S36,0)</f>
        <v>26</v>
      </c>
      <c r="AB36" s="1">
        <f>Z36/2+AA36</f>
        <v>42</v>
      </c>
      <c r="AC36" s="44">
        <f>AB36*B36*$F$1</f>
        <v>4193.28</v>
      </c>
      <c r="AD36" s="44">
        <f>Q36*(1-Y36)*$F$3*(C36-B36)</f>
        <v>384.11158348957963</v>
      </c>
    </row>
    <row r="37" spans="1:30" hidden="1" x14ac:dyDescent="0.35">
      <c r="A37" s="28">
        <v>20491</v>
      </c>
      <c r="B37" s="43">
        <v>312</v>
      </c>
      <c r="C37" s="43">
        <v>434</v>
      </c>
      <c r="D37" s="19">
        <v>0.2</v>
      </c>
      <c r="E37" s="28">
        <v>3</v>
      </c>
      <c r="F37" s="28">
        <v>17</v>
      </c>
      <c r="G37" s="28">
        <v>389</v>
      </c>
      <c r="H37" s="28">
        <v>1</v>
      </c>
      <c r="I37" s="28">
        <v>5</v>
      </c>
      <c r="J37" s="28">
        <v>456</v>
      </c>
      <c r="K37" s="28">
        <v>16</v>
      </c>
      <c r="L37" s="28">
        <v>0</v>
      </c>
      <c r="M37" s="28">
        <v>356</v>
      </c>
      <c r="N37" s="28">
        <v>0</v>
      </c>
      <c r="O37" s="28">
        <v>1</v>
      </c>
      <c r="P37" s="28">
        <v>3</v>
      </c>
      <c r="Q37" s="28">
        <f t="shared" si="0"/>
        <v>1247</v>
      </c>
      <c r="R37" s="28">
        <f t="shared" si="1"/>
        <v>103.91666666666667</v>
      </c>
      <c r="S37" s="28">
        <f t="shared" si="2"/>
        <v>180.15117809688886</v>
      </c>
      <c r="T37" s="29" t="str">
        <f t="shared" si="7"/>
        <v>No</v>
      </c>
      <c r="U37" s="43">
        <f t="shared" si="3"/>
        <v>541198</v>
      </c>
      <c r="V37" s="30">
        <f t="shared" si="4"/>
        <v>9.6440501065139551E-3</v>
      </c>
      <c r="W37" s="31">
        <f t="shared" si="8"/>
        <v>0.89645587778648161</v>
      </c>
      <c r="X37" s="32" t="str">
        <f t="shared" si="5"/>
        <v>B</v>
      </c>
      <c r="Y37" s="46">
        <f t="shared" si="6"/>
        <v>0.99284108501557022</v>
      </c>
      <c r="AC37" s="44"/>
      <c r="AD37" s="44"/>
    </row>
    <row r="38" spans="1:30" x14ac:dyDescent="0.35">
      <c r="A38" s="28">
        <v>26657</v>
      </c>
      <c r="B38" s="43">
        <v>3271</v>
      </c>
      <c r="C38" s="43">
        <v>4645.5</v>
      </c>
      <c r="D38" s="19">
        <v>0.6</v>
      </c>
      <c r="E38" s="28">
        <v>8</v>
      </c>
      <c r="F38" s="28">
        <v>2</v>
      </c>
      <c r="G38" s="28">
        <v>6</v>
      </c>
      <c r="H38" s="28">
        <v>13</v>
      </c>
      <c r="I38" s="28">
        <v>6</v>
      </c>
      <c r="J38" s="28">
        <v>11</v>
      </c>
      <c r="K38" s="28">
        <v>12</v>
      </c>
      <c r="L38" s="28">
        <v>11</v>
      </c>
      <c r="M38" s="28">
        <v>13</v>
      </c>
      <c r="N38" s="28">
        <v>6</v>
      </c>
      <c r="O38" s="28">
        <v>14</v>
      </c>
      <c r="P38" s="28">
        <v>14</v>
      </c>
      <c r="Q38" s="28">
        <f t="shared" ref="Q38:Q64" si="9">SUM(E38:P38)</f>
        <v>116</v>
      </c>
      <c r="R38" s="28">
        <f t="shared" ref="R38:R64" si="10">AVERAGE(E38:P38)</f>
        <v>9.6666666666666661</v>
      </c>
      <c r="S38" s="28">
        <f t="shared" ref="S38:S64" si="11">STDEV(E38:P38)</f>
        <v>3.9389277113386485</v>
      </c>
      <c r="T38" s="29" t="str">
        <f t="shared" si="7"/>
        <v>Yes</v>
      </c>
      <c r="U38" s="43">
        <f t="shared" ref="U38:U64" si="12">Q38*C38</f>
        <v>538878</v>
      </c>
      <c r="V38" s="30">
        <f t="shared" ref="V38:V64" si="13">U38/$U$66</f>
        <v>9.6027081277056218E-3</v>
      </c>
      <c r="W38" s="31">
        <f t="shared" si="8"/>
        <v>0.9060585859141872</v>
      </c>
      <c r="X38" s="32" t="str">
        <f t="shared" ref="X38:X64" si="14">IF(W38&lt;=0.8,"A",IF(W38&lt;=0.95,"B","C"))</f>
        <v>B</v>
      </c>
      <c r="Y38" s="46">
        <f t="shared" ref="Y38:Y64" si="15">VLOOKUP(X38,$A$1:$B$3,2,FALSE)</f>
        <v>0.99284108501557022</v>
      </c>
      <c r="Z38" s="1">
        <f>ROUND(SQRT(2*Q38*$F$2/(B38*$F$1)),0)</f>
        <v>7</v>
      </c>
      <c r="AA38" s="1">
        <f>ROUND(NORMSINV(Y38)*SQRT(D38)*S38,0)</f>
        <v>7</v>
      </c>
      <c r="AB38" s="1">
        <f>Z38/2+AA38</f>
        <v>10.5</v>
      </c>
      <c r="AC38" s="44">
        <f>AB38*B38*$F$1</f>
        <v>4464.915</v>
      </c>
      <c r="AD38" s="44">
        <f>Q38*(1-Y38)*$F$3*(C38-B38)</f>
        <v>399.50110303160835</v>
      </c>
    </row>
    <row r="39" spans="1:30" x14ac:dyDescent="0.35">
      <c r="A39" s="28">
        <v>27430</v>
      </c>
      <c r="B39" s="43">
        <v>3342</v>
      </c>
      <c r="C39" s="43">
        <v>4779</v>
      </c>
      <c r="D39" s="19">
        <v>0.5</v>
      </c>
      <c r="E39" s="28">
        <v>13</v>
      </c>
      <c r="F39" s="28">
        <v>4</v>
      </c>
      <c r="G39" s="28">
        <v>14</v>
      </c>
      <c r="H39" s="28">
        <v>12</v>
      </c>
      <c r="I39" s="28">
        <v>9</v>
      </c>
      <c r="J39" s="28">
        <v>7</v>
      </c>
      <c r="K39" s="28">
        <v>3</v>
      </c>
      <c r="L39" s="28">
        <v>8</v>
      </c>
      <c r="M39" s="28">
        <v>15</v>
      </c>
      <c r="N39" s="28">
        <v>10</v>
      </c>
      <c r="O39" s="28">
        <v>5</v>
      </c>
      <c r="P39" s="28">
        <v>4</v>
      </c>
      <c r="Q39" s="28">
        <f t="shared" si="9"/>
        <v>104</v>
      </c>
      <c r="R39" s="28">
        <f t="shared" si="10"/>
        <v>8.6666666666666661</v>
      </c>
      <c r="S39" s="28">
        <f t="shared" si="11"/>
        <v>4.1851106932973128</v>
      </c>
      <c r="T39" s="29" t="str">
        <f t="shared" si="7"/>
        <v>Yes</v>
      </c>
      <c r="U39" s="43">
        <f t="shared" si="12"/>
        <v>497016</v>
      </c>
      <c r="V39" s="30">
        <f t="shared" si="13"/>
        <v>8.8567348876735317E-3</v>
      </c>
      <c r="W39" s="31">
        <f t="shared" ref="W39:W64" si="16">W38+V39</f>
        <v>0.91491532080186078</v>
      </c>
      <c r="X39" s="32" t="str">
        <f t="shared" si="14"/>
        <v>B</v>
      </c>
      <c r="Y39" s="46">
        <f t="shared" si="15"/>
        <v>0.99284108501557022</v>
      </c>
      <c r="Z39" s="1">
        <f>ROUND(SQRT(2*Q39*$F$2/(B39*$F$1)),0)</f>
        <v>7</v>
      </c>
      <c r="AA39" s="1">
        <f>ROUND(NORMSINV(Y39)*SQRT(D39)*S39,0)</f>
        <v>7</v>
      </c>
      <c r="AB39" s="1">
        <f>Z39/2+AA39</f>
        <v>10.5</v>
      </c>
      <c r="AC39" s="44">
        <f>AB39*B39*$F$1</f>
        <v>4561.83</v>
      </c>
      <c r="AD39" s="44">
        <f>Q39*(1-Y39)*$F$3*(C39-B39)</f>
        <v>374.45993430757142</v>
      </c>
    </row>
    <row r="40" spans="1:30" x14ac:dyDescent="0.35">
      <c r="A40" s="28">
        <v>35361</v>
      </c>
      <c r="B40" s="43">
        <v>3211</v>
      </c>
      <c r="C40" s="43">
        <v>4816.5</v>
      </c>
      <c r="D40" s="19">
        <v>1.4</v>
      </c>
      <c r="E40" s="28">
        <v>7</v>
      </c>
      <c r="F40" s="28">
        <v>7</v>
      </c>
      <c r="G40" s="28">
        <v>9</v>
      </c>
      <c r="H40" s="28">
        <v>7</v>
      </c>
      <c r="I40" s="28">
        <v>5</v>
      </c>
      <c r="J40" s="28">
        <v>7</v>
      </c>
      <c r="K40" s="28">
        <v>11</v>
      </c>
      <c r="L40" s="28">
        <v>8</v>
      </c>
      <c r="M40" s="28">
        <v>7</v>
      </c>
      <c r="N40" s="28">
        <v>13</v>
      </c>
      <c r="O40" s="28">
        <v>14</v>
      </c>
      <c r="P40" s="28">
        <v>7</v>
      </c>
      <c r="Q40" s="28">
        <f t="shared" si="9"/>
        <v>102</v>
      </c>
      <c r="R40" s="28">
        <f t="shared" si="10"/>
        <v>8.5</v>
      </c>
      <c r="S40" s="28">
        <f t="shared" si="11"/>
        <v>2.7468990781342053</v>
      </c>
      <c r="T40" s="29" t="str">
        <f t="shared" si="7"/>
        <v>Yes</v>
      </c>
      <c r="U40" s="43">
        <f t="shared" si="12"/>
        <v>491283</v>
      </c>
      <c r="V40" s="30">
        <f t="shared" si="13"/>
        <v>8.7545738684889733E-3</v>
      </c>
      <c r="W40" s="31">
        <f t="shared" si="16"/>
        <v>0.92366989467034977</v>
      </c>
      <c r="X40" s="32" t="str">
        <f t="shared" si="14"/>
        <v>B</v>
      </c>
      <c r="Y40" s="46">
        <f t="shared" si="15"/>
        <v>0.99284108501557022</v>
      </c>
      <c r="Z40" s="1">
        <f>ROUND(SQRT(2*Q40*$F$2/(B40*$F$1)),0)</f>
        <v>7</v>
      </c>
      <c r="AA40" s="1">
        <f>ROUND(NORMSINV(Y40)*SQRT(D40)*S40,0)</f>
        <v>8</v>
      </c>
      <c r="AB40" s="1">
        <f>Z40/2+AA40</f>
        <v>11.5</v>
      </c>
      <c r="AC40" s="44">
        <f>AB40*B40*$F$1</f>
        <v>4800.4450000000006</v>
      </c>
      <c r="AD40" s="44">
        <f>Q40*(1-Y40)*$F$3*(C40-B40)</f>
        <v>410.32287686782161</v>
      </c>
    </row>
    <row r="41" spans="1:30" x14ac:dyDescent="0.35">
      <c r="A41" s="28">
        <v>28900</v>
      </c>
      <c r="B41" s="43">
        <v>3166</v>
      </c>
      <c r="C41" s="43">
        <v>4717.5</v>
      </c>
      <c r="D41" s="19">
        <v>0.4</v>
      </c>
      <c r="E41" s="28">
        <v>2</v>
      </c>
      <c r="F41" s="28">
        <v>13</v>
      </c>
      <c r="G41" s="28">
        <v>13</v>
      </c>
      <c r="H41" s="28">
        <v>6</v>
      </c>
      <c r="I41" s="28">
        <v>4</v>
      </c>
      <c r="J41" s="28">
        <v>4</v>
      </c>
      <c r="K41" s="28">
        <v>8</v>
      </c>
      <c r="L41" s="28">
        <v>12</v>
      </c>
      <c r="M41" s="28">
        <v>5</v>
      </c>
      <c r="N41" s="28">
        <v>9</v>
      </c>
      <c r="O41" s="28">
        <v>15</v>
      </c>
      <c r="P41" s="28">
        <v>12</v>
      </c>
      <c r="Q41" s="28">
        <f t="shared" si="9"/>
        <v>103</v>
      </c>
      <c r="R41" s="28">
        <f t="shared" si="10"/>
        <v>8.5833333333333339</v>
      </c>
      <c r="S41" s="28">
        <f t="shared" si="11"/>
        <v>4.3580298579087593</v>
      </c>
      <c r="T41" s="29" t="str">
        <f t="shared" si="7"/>
        <v>Yes</v>
      </c>
      <c r="U41" s="43">
        <f t="shared" si="12"/>
        <v>485902.5</v>
      </c>
      <c r="V41" s="30">
        <f t="shared" si="13"/>
        <v>8.658694335308699E-3</v>
      </c>
      <c r="W41" s="31">
        <f t="shared" si="16"/>
        <v>0.93232858900565851</v>
      </c>
      <c r="X41" s="32" t="str">
        <f t="shared" si="14"/>
        <v>B</v>
      </c>
      <c r="Y41" s="46">
        <f t="shared" si="15"/>
        <v>0.99284108501557022</v>
      </c>
      <c r="Z41" s="1">
        <f>ROUND(SQRT(2*Q41*$F$2/(B41*$F$1)),0)</f>
        <v>7</v>
      </c>
      <c r="AA41" s="1">
        <f>ROUND(NORMSINV(Y41)*SQRT(D41)*S41,0)</f>
        <v>7</v>
      </c>
      <c r="AB41" s="1">
        <f>Z41/2+AA41</f>
        <v>10.5</v>
      </c>
      <c r="AC41" s="44">
        <f>AB41*B41*$F$1</f>
        <v>4321.59</v>
      </c>
      <c r="AD41" s="44">
        <f>Q41*(1-Y41)*$F$3*(C41-B41)</f>
        <v>400.40939037025788</v>
      </c>
    </row>
    <row r="42" spans="1:30" hidden="1" x14ac:dyDescent="0.35">
      <c r="A42" s="28">
        <v>20256</v>
      </c>
      <c r="B42" s="43">
        <v>943</v>
      </c>
      <c r="C42" s="43">
        <v>1320</v>
      </c>
      <c r="D42" s="19">
        <v>0.3</v>
      </c>
      <c r="E42" s="28">
        <v>0</v>
      </c>
      <c r="F42" s="28">
        <v>0</v>
      </c>
      <c r="G42" s="28">
        <v>9</v>
      </c>
      <c r="H42" s="28">
        <v>8</v>
      </c>
      <c r="I42" s="28">
        <v>156</v>
      </c>
      <c r="J42" s="28">
        <v>145</v>
      </c>
      <c r="K42" s="28">
        <v>7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f t="shared" si="9"/>
        <v>325</v>
      </c>
      <c r="R42" s="28">
        <f t="shared" si="10"/>
        <v>27.083333333333332</v>
      </c>
      <c r="S42" s="28">
        <f t="shared" si="11"/>
        <v>57.802891298136998</v>
      </c>
      <c r="T42" s="29" t="str">
        <f t="shared" si="7"/>
        <v>No</v>
      </c>
      <c r="U42" s="43">
        <f t="shared" si="12"/>
        <v>429000</v>
      </c>
      <c r="V42" s="30">
        <f t="shared" si="13"/>
        <v>7.644702115851291E-3</v>
      </c>
      <c r="W42" s="31">
        <f t="shared" si="16"/>
        <v>0.93997329112150985</v>
      </c>
      <c r="X42" s="32" t="str">
        <f t="shared" si="14"/>
        <v>B</v>
      </c>
      <c r="Y42" s="46">
        <f t="shared" si="15"/>
        <v>0.99284108501557022</v>
      </c>
      <c r="AC42" s="44"/>
      <c r="AD42" s="44"/>
    </row>
    <row r="43" spans="1:30" x14ac:dyDescent="0.35">
      <c r="A43" s="28">
        <v>49817</v>
      </c>
      <c r="B43" s="43">
        <v>3492</v>
      </c>
      <c r="C43" s="43">
        <v>4783.5</v>
      </c>
      <c r="D43" s="19">
        <v>0.3</v>
      </c>
      <c r="E43" s="28">
        <v>7</v>
      </c>
      <c r="F43" s="28">
        <v>5</v>
      </c>
      <c r="G43" s="28">
        <v>7</v>
      </c>
      <c r="H43" s="28">
        <v>14</v>
      </c>
      <c r="I43" s="28">
        <v>3</v>
      </c>
      <c r="J43" s="28">
        <v>4</v>
      </c>
      <c r="K43" s="28">
        <v>6</v>
      </c>
      <c r="L43" s="28">
        <v>5</v>
      </c>
      <c r="M43" s="28">
        <v>4</v>
      </c>
      <c r="N43" s="28">
        <v>14</v>
      </c>
      <c r="O43" s="28">
        <v>14</v>
      </c>
      <c r="P43" s="28">
        <v>5</v>
      </c>
      <c r="Q43" s="28">
        <f t="shared" si="9"/>
        <v>88</v>
      </c>
      <c r="R43" s="28">
        <f t="shared" si="10"/>
        <v>7.333333333333333</v>
      </c>
      <c r="S43" s="28">
        <f t="shared" si="11"/>
        <v>4.1851106932973128</v>
      </c>
      <c r="T43" s="29" t="str">
        <f t="shared" si="7"/>
        <v>Yes</v>
      </c>
      <c r="U43" s="43">
        <f t="shared" si="12"/>
        <v>420948</v>
      </c>
      <c r="V43" s="30">
        <f t="shared" si="13"/>
        <v>7.5012169376768509E-3</v>
      </c>
      <c r="W43" s="31">
        <f t="shared" si="16"/>
        <v>0.94747450805918665</v>
      </c>
      <c r="X43" s="32" t="str">
        <f t="shared" si="14"/>
        <v>B</v>
      </c>
      <c r="Y43" s="46">
        <f t="shared" si="15"/>
        <v>0.99284108501557022</v>
      </c>
      <c r="Z43" s="1">
        <f>ROUND(SQRT(2*Q43*$F$2/(B43*$F$1)),0)</f>
        <v>6</v>
      </c>
      <c r="AA43" s="1">
        <f>ROUND(NORMSINV(Y43)*SQRT(D43)*S43,0)</f>
        <v>6</v>
      </c>
      <c r="AB43" s="1">
        <f>Z43/2+AA43</f>
        <v>9</v>
      </c>
      <c r="AC43" s="44">
        <f>AB43*B43*$F$1</f>
        <v>4085.6400000000003</v>
      </c>
      <c r="AD43" s="44">
        <f>Q43*(1-Y43)*$F$3*(C43-B43)</f>
        <v>284.76875203364449</v>
      </c>
    </row>
    <row r="44" spans="1:30" x14ac:dyDescent="0.35">
      <c r="A44" s="28">
        <v>27426</v>
      </c>
      <c r="B44" s="43">
        <v>3399</v>
      </c>
      <c r="C44" s="43">
        <v>4758</v>
      </c>
      <c r="D44" s="19">
        <v>0.9</v>
      </c>
      <c r="E44" s="28">
        <v>4</v>
      </c>
      <c r="F44" s="28">
        <v>7</v>
      </c>
      <c r="G44" s="28">
        <v>9</v>
      </c>
      <c r="H44" s="28">
        <v>3</v>
      </c>
      <c r="I44" s="28">
        <v>12</v>
      </c>
      <c r="J44" s="28">
        <v>4</v>
      </c>
      <c r="K44" s="28">
        <v>14</v>
      </c>
      <c r="L44" s="28">
        <v>3</v>
      </c>
      <c r="M44" s="28">
        <v>11</v>
      </c>
      <c r="N44" s="28">
        <v>9</v>
      </c>
      <c r="O44" s="28">
        <v>4</v>
      </c>
      <c r="P44" s="28">
        <v>6</v>
      </c>
      <c r="Q44" s="28">
        <f t="shared" si="9"/>
        <v>86</v>
      </c>
      <c r="R44" s="28">
        <f t="shared" si="10"/>
        <v>7.166666666666667</v>
      </c>
      <c r="S44" s="28">
        <f t="shared" si="11"/>
        <v>3.785938897200182</v>
      </c>
      <c r="T44" s="29" t="str">
        <f t="shared" si="7"/>
        <v>Yes</v>
      </c>
      <c r="U44" s="43">
        <f t="shared" si="12"/>
        <v>409188</v>
      </c>
      <c r="V44" s="30">
        <f t="shared" si="13"/>
        <v>7.2916558726828853E-3</v>
      </c>
      <c r="W44" s="31">
        <f t="shared" si="16"/>
        <v>0.95476616393186953</v>
      </c>
      <c r="X44" s="32" t="str">
        <f t="shared" si="14"/>
        <v>C</v>
      </c>
      <c r="Y44" s="46">
        <f t="shared" si="15"/>
        <v>0.99591493403167763</v>
      </c>
      <c r="Z44" s="1">
        <f>ROUND(SQRT(2*Q44*$F$2/(B44*$F$1)),0)</f>
        <v>6</v>
      </c>
      <c r="AA44" s="1">
        <f>ROUND(NORMSINV(Y44)*SQRT(D44)*S44,0)</f>
        <v>9</v>
      </c>
      <c r="AB44" s="1">
        <f>Z44/2+AA44</f>
        <v>12</v>
      </c>
      <c r="AC44" s="44">
        <f>AB44*B44*$F$1</f>
        <v>5302.4400000000005</v>
      </c>
      <c r="AD44" s="44">
        <f>Q44*(1-Y44)*$F$3*(C44-B44)</f>
        <v>167.10329999359783</v>
      </c>
    </row>
    <row r="45" spans="1:30" x14ac:dyDescent="0.35">
      <c r="A45" s="28">
        <v>28396</v>
      </c>
      <c r="B45" s="43">
        <v>3648</v>
      </c>
      <c r="C45" s="43">
        <v>4852.5</v>
      </c>
      <c r="D45" s="19">
        <v>0</v>
      </c>
      <c r="E45" s="28">
        <v>4</v>
      </c>
      <c r="F45" s="28">
        <v>10</v>
      </c>
      <c r="G45" s="28">
        <v>2</v>
      </c>
      <c r="H45" s="28">
        <v>10</v>
      </c>
      <c r="I45" s="28">
        <v>4</v>
      </c>
      <c r="J45" s="28">
        <v>5</v>
      </c>
      <c r="K45" s="28">
        <v>8</v>
      </c>
      <c r="L45" s="28">
        <v>6</v>
      </c>
      <c r="M45" s="28">
        <v>10</v>
      </c>
      <c r="N45" s="28">
        <v>14</v>
      </c>
      <c r="O45" s="28">
        <v>2</v>
      </c>
      <c r="P45" s="28">
        <v>4</v>
      </c>
      <c r="Q45" s="28">
        <f t="shared" si="9"/>
        <v>79</v>
      </c>
      <c r="R45" s="28">
        <f t="shared" si="10"/>
        <v>6.583333333333333</v>
      </c>
      <c r="S45" s="28">
        <f t="shared" si="11"/>
        <v>3.776923551668939</v>
      </c>
      <c r="T45" s="29" t="str">
        <f t="shared" si="7"/>
        <v>Yes</v>
      </c>
      <c r="U45" s="43">
        <f t="shared" si="12"/>
        <v>383347.5</v>
      </c>
      <c r="V45" s="30">
        <f t="shared" si="13"/>
        <v>6.8311828539773956E-3</v>
      </c>
      <c r="W45" s="31">
        <f t="shared" si="16"/>
        <v>0.96159734678584696</v>
      </c>
      <c r="X45" s="32" t="str">
        <f t="shared" si="14"/>
        <v>C</v>
      </c>
      <c r="Y45" s="46">
        <f t="shared" si="15"/>
        <v>0.99591493403167763</v>
      </c>
      <c r="Z45" s="1">
        <f>ROUND(SQRT(2*Q45*$F$2/(B45*$F$1)),0)</f>
        <v>6</v>
      </c>
      <c r="AA45" s="1">
        <f>ROUND(NORMSINV(Y45)*SQRT(D45)*S45,0)</f>
        <v>0</v>
      </c>
      <c r="AB45" s="1">
        <f>Z45/2+AA45</f>
        <v>3</v>
      </c>
      <c r="AC45" s="44">
        <f>AB45*B45*$F$1</f>
        <v>1422.72</v>
      </c>
      <c r="AD45" s="44">
        <f>Q45*(1-Y45)*$F$3*(C45-B45)</f>
        <v>136.05077316204461</v>
      </c>
    </row>
    <row r="46" spans="1:30" hidden="1" x14ac:dyDescent="0.35">
      <c r="A46" s="28">
        <v>61299</v>
      </c>
      <c r="B46" s="43">
        <v>610</v>
      </c>
      <c r="C46" s="43">
        <v>890</v>
      </c>
      <c r="D46" s="19">
        <v>1.7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76</v>
      </c>
      <c r="N46" s="28">
        <v>87</v>
      </c>
      <c r="O46" s="28">
        <v>91</v>
      </c>
      <c r="P46" s="28">
        <v>132</v>
      </c>
      <c r="Q46" s="28">
        <f t="shared" si="9"/>
        <v>386</v>
      </c>
      <c r="R46" s="28">
        <f t="shared" si="10"/>
        <v>32.166666666666664</v>
      </c>
      <c r="S46" s="28">
        <f t="shared" si="11"/>
        <v>49.206121816725449</v>
      </c>
      <c r="T46" s="29" t="str">
        <f t="shared" si="7"/>
        <v>No</v>
      </c>
      <c r="U46" s="43">
        <f t="shared" si="12"/>
        <v>343540</v>
      </c>
      <c r="V46" s="30">
        <f t="shared" si="13"/>
        <v>6.1218204309546678E-3</v>
      </c>
      <c r="W46" s="31">
        <f t="shared" si="16"/>
        <v>0.96771916721680162</v>
      </c>
      <c r="X46" s="32" t="str">
        <f t="shared" si="14"/>
        <v>C</v>
      </c>
      <c r="Y46" s="46">
        <f t="shared" si="15"/>
        <v>0.99591493403167763</v>
      </c>
      <c r="AC46" s="44"/>
      <c r="AD46" s="44"/>
    </row>
    <row r="47" spans="1:30" hidden="1" x14ac:dyDescent="0.35">
      <c r="A47" s="28">
        <v>20356</v>
      </c>
      <c r="B47" s="43">
        <v>926</v>
      </c>
      <c r="C47" s="43">
        <v>1250</v>
      </c>
      <c r="D47" s="19">
        <v>1.5</v>
      </c>
      <c r="E47" s="28">
        <v>0</v>
      </c>
      <c r="F47" s="28">
        <v>0</v>
      </c>
      <c r="G47" s="28">
        <v>0</v>
      </c>
      <c r="H47" s="28">
        <v>0</v>
      </c>
      <c r="I47" s="28">
        <v>109</v>
      </c>
      <c r="J47" s="28">
        <v>150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f t="shared" si="9"/>
        <v>259</v>
      </c>
      <c r="R47" s="28">
        <f t="shared" si="10"/>
        <v>21.583333333333332</v>
      </c>
      <c r="S47" s="28">
        <f t="shared" si="11"/>
        <v>51.160102234124402</v>
      </c>
      <c r="T47" s="29" t="str">
        <f t="shared" si="7"/>
        <v>No</v>
      </c>
      <c r="U47" s="43">
        <f t="shared" si="12"/>
        <v>323750</v>
      </c>
      <c r="V47" s="30">
        <f t="shared" si="13"/>
        <v>5.7691662237922036E-3</v>
      </c>
      <c r="W47" s="31">
        <f t="shared" si="16"/>
        <v>0.97348833344059382</v>
      </c>
      <c r="X47" s="32" t="str">
        <f t="shared" si="14"/>
        <v>C</v>
      </c>
      <c r="Y47" s="46">
        <f t="shared" si="15"/>
        <v>0.99591493403167763</v>
      </c>
      <c r="AC47" s="44"/>
      <c r="AD47" s="44"/>
    </row>
    <row r="48" spans="1:30" hidden="1" x14ac:dyDescent="0.35">
      <c r="A48" s="28">
        <v>62949</v>
      </c>
      <c r="B48" s="43">
        <v>337</v>
      </c>
      <c r="C48" s="43">
        <v>451</v>
      </c>
      <c r="D48" s="19">
        <v>0.9</v>
      </c>
      <c r="E48" s="28">
        <v>0</v>
      </c>
      <c r="F48" s="28">
        <v>2</v>
      </c>
      <c r="G48" s="28">
        <v>123</v>
      </c>
      <c r="H48" s="28">
        <v>154</v>
      </c>
      <c r="I48" s="28">
        <v>165</v>
      </c>
      <c r="J48" s="28">
        <v>102</v>
      </c>
      <c r="K48" s="28">
        <v>1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f t="shared" si="9"/>
        <v>547</v>
      </c>
      <c r="R48" s="28">
        <f t="shared" si="10"/>
        <v>45.583333333333336</v>
      </c>
      <c r="S48" s="28">
        <f t="shared" si="11"/>
        <v>68.45364500997384</v>
      </c>
      <c r="T48" s="29" t="str">
        <f t="shared" si="7"/>
        <v>No</v>
      </c>
      <c r="U48" s="43">
        <f t="shared" si="12"/>
        <v>246697</v>
      </c>
      <c r="V48" s="30">
        <f t="shared" si="13"/>
        <v>4.396095752620433E-3</v>
      </c>
      <c r="W48" s="31">
        <f t="shared" si="16"/>
        <v>0.97788442919321428</v>
      </c>
      <c r="X48" s="32" t="str">
        <f t="shared" si="14"/>
        <v>C</v>
      </c>
      <c r="Y48" s="46">
        <f t="shared" si="15"/>
        <v>0.99591493403167763</v>
      </c>
      <c r="AC48" s="44"/>
      <c r="AD48" s="44"/>
    </row>
    <row r="49" spans="1:30" x14ac:dyDescent="0.35">
      <c r="A49" s="28">
        <v>20593</v>
      </c>
      <c r="B49" s="43">
        <v>719</v>
      </c>
      <c r="C49" s="43">
        <v>1000</v>
      </c>
      <c r="D49" s="19">
        <v>0.5</v>
      </c>
      <c r="E49" s="28">
        <v>18</v>
      </c>
      <c r="F49" s="28">
        <v>18</v>
      </c>
      <c r="G49" s="28">
        <v>20</v>
      </c>
      <c r="H49" s="28">
        <v>22</v>
      </c>
      <c r="I49" s="28">
        <v>24</v>
      </c>
      <c r="J49" s="28">
        <v>17</v>
      </c>
      <c r="K49" s="28">
        <v>14</v>
      </c>
      <c r="L49" s="28">
        <v>15</v>
      </c>
      <c r="M49" s="28">
        <v>23</v>
      </c>
      <c r="N49" s="28">
        <v>14</v>
      </c>
      <c r="O49" s="28">
        <v>19</v>
      </c>
      <c r="P49" s="28">
        <v>20</v>
      </c>
      <c r="Q49" s="28">
        <f t="shared" si="9"/>
        <v>224</v>
      </c>
      <c r="R49" s="28">
        <f t="shared" si="10"/>
        <v>18.666666666666668</v>
      </c>
      <c r="S49" s="28">
        <f t="shared" si="11"/>
        <v>3.3393884397468914</v>
      </c>
      <c r="T49" s="29" t="str">
        <f t="shared" si="7"/>
        <v>Yes</v>
      </c>
      <c r="U49" s="43">
        <f t="shared" si="12"/>
        <v>224000</v>
      </c>
      <c r="V49" s="30">
        <f t="shared" si="13"/>
        <v>3.9916393332183895E-3</v>
      </c>
      <c r="W49" s="31">
        <f t="shared" si="16"/>
        <v>0.98187606852643272</v>
      </c>
      <c r="X49" s="32" t="str">
        <f t="shared" si="14"/>
        <v>C</v>
      </c>
      <c r="Y49" s="46">
        <f t="shared" si="15"/>
        <v>0.99591493403167763</v>
      </c>
      <c r="Z49" s="1">
        <f>ROUND(SQRT(2*Q49*$F$2/(B49*$F$1)),0)</f>
        <v>21</v>
      </c>
      <c r="AA49" s="1">
        <f>ROUND(NORMSINV(Y49)*SQRT(D49)*S49,0)</f>
        <v>6</v>
      </c>
      <c r="AB49" s="1">
        <f>Z49/2+AA49</f>
        <v>16.5</v>
      </c>
      <c r="AC49" s="44">
        <f>AB49*B49*$F$1</f>
        <v>1542.2550000000001</v>
      </c>
      <c r="AD49" s="44">
        <f>Q49*(1-Y49)*$F$3*(C49-B49)</f>
        <v>89.995637308529027</v>
      </c>
    </row>
    <row r="50" spans="1:30" hidden="1" x14ac:dyDescent="0.35">
      <c r="A50" s="28">
        <v>60466</v>
      </c>
      <c r="B50" s="43">
        <v>479</v>
      </c>
      <c r="C50" s="43">
        <v>666</v>
      </c>
      <c r="D50" s="19">
        <v>1.3</v>
      </c>
      <c r="E50" s="28">
        <v>0</v>
      </c>
      <c r="F50" s="28">
        <v>7</v>
      </c>
      <c r="G50" s="28">
        <v>77</v>
      </c>
      <c r="H50" s="28">
        <v>67</v>
      </c>
      <c r="I50" s="28">
        <v>76</v>
      </c>
      <c r="J50" s="28">
        <v>88</v>
      </c>
      <c r="K50" s="28">
        <v>5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f t="shared" si="9"/>
        <v>320</v>
      </c>
      <c r="R50" s="28">
        <f t="shared" si="10"/>
        <v>26.666666666666668</v>
      </c>
      <c r="S50" s="28">
        <f t="shared" si="11"/>
        <v>37.512018276167375</v>
      </c>
      <c r="T50" s="29" t="str">
        <f t="shared" si="7"/>
        <v>No</v>
      </c>
      <c r="U50" s="43">
        <f t="shared" si="12"/>
        <v>213120</v>
      </c>
      <c r="V50" s="30">
        <f t="shared" si="13"/>
        <v>3.7977597084620676E-3</v>
      </c>
      <c r="W50" s="31">
        <f t="shared" si="16"/>
        <v>0.9856738282348948</v>
      </c>
      <c r="X50" s="32" t="str">
        <f t="shared" si="14"/>
        <v>C</v>
      </c>
      <c r="Y50" s="46">
        <f t="shared" si="15"/>
        <v>0.99591493403167763</v>
      </c>
      <c r="AC50" s="44"/>
      <c r="AD50" s="44"/>
    </row>
    <row r="51" spans="1:30" hidden="1" x14ac:dyDescent="0.35">
      <c r="A51" s="28">
        <v>62467</v>
      </c>
      <c r="B51" s="43">
        <v>312</v>
      </c>
      <c r="C51" s="43">
        <v>456</v>
      </c>
      <c r="D51" s="19">
        <v>1.9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77</v>
      </c>
      <c r="N51" s="28">
        <v>88</v>
      </c>
      <c r="O51" s="28">
        <v>99</v>
      </c>
      <c r="P51" s="28">
        <v>77</v>
      </c>
      <c r="Q51" s="28">
        <f t="shared" si="9"/>
        <v>341</v>
      </c>
      <c r="R51" s="28">
        <f t="shared" si="10"/>
        <v>28.416666666666668</v>
      </c>
      <c r="S51" s="28">
        <f t="shared" si="11"/>
        <v>42.333005248072489</v>
      </c>
      <c r="T51" s="29" t="str">
        <f t="shared" si="7"/>
        <v>No</v>
      </c>
      <c r="U51" s="43">
        <f t="shared" si="12"/>
        <v>155496</v>
      </c>
      <c r="V51" s="30">
        <f t="shared" si="13"/>
        <v>2.7709104899916372E-3</v>
      </c>
      <c r="W51" s="31">
        <f t="shared" si="16"/>
        <v>0.98844473872488647</v>
      </c>
      <c r="X51" s="32" t="str">
        <f t="shared" si="14"/>
        <v>C</v>
      </c>
      <c r="Y51" s="46">
        <f t="shared" si="15"/>
        <v>0.99591493403167763</v>
      </c>
      <c r="AC51" s="44"/>
      <c r="AD51" s="44"/>
    </row>
    <row r="52" spans="1:30" hidden="1" x14ac:dyDescent="0.35">
      <c r="A52" s="28">
        <v>62466</v>
      </c>
      <c r="B52" s="43">
        <v>159</v>
      </c>
      <c r="C52" s="43">
        <v>234</v>
      </c>
      <c r="D52" s="19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99</v>
      </c>
      <c r="N52" s="28">
        <v>99</v>
      </c>
      <c r="O52" s="28">
        <v>102</v>
      </c>
      <c r="P52" s="28">
        <v>132</v>
      </c>
      <c r="Q52" s="28">
        <f t="shared" si="9"/>
        <v>432</v>
      </c>
      <c r="R52" s="28">
        <f t="shared" si="10"/>
        <v>36</v>
      </c>
      <c r="S52" s="28">
        <f t="shared" si="11"/>
        <v>53.833075334779082</v>
      </c>
      <c r="T52" s="29" t="str">
        <f t="shared" si="7"/>
        <v>No</v>
      </c>
      <c r="U52" s="43">
        <f t="shared" si="12"/>
        <v>101088</v>
      </c>
      <c r="V52" s="30">
        <f t="shared" si="13"/>
        <v>1.8013698076624132E-3</v>
      </c>
      <c r="W52" s="31">
        <f t="shared" si="16"/>
        <v>0.99024610853254891</v>
      </c>
      <c r="X52" s="32" t="str">
        <f t="shared" si="14"/>
        <v>C</v>
      </c>
      <c r="Y52" s="46">
        <f t="shared" si="15"/>
        <v>0.99591493403167763</v>
      </c>
      <c r="AC52" s="44"/>
      <c r="AD52" s="44"/>
    </row>
    <row r="53" spans="1:30" hidden="1" x14ac:dyDescent="0.35">
      <c r="A53" s="28">
        <v>60467</v>
      </c>
      <c r="B53" s="43">
        <v>297</v>
      </c>
      <c r="C53" s="43">
        <v>443</v>
      </c>
      <c r="D53" s="19">
        <v>0.6</v>
      </c>
      <c r="E53" s="28">
        <v>0</v>
      </c>
      <c r="F53" s="28">
        <v>4</v>
      </c>
      <c r="G53" s="28">
        <v>44</v>
      </c>
      <c r="H53" s="28">
        <v>55</v>
      </c>
      <c r="I53" s="28">
        <v>43</v>
      </c>
      <c r="J53" s="28">
        <v>76</v>
      </c>
      <c r="K53" s="28">
        <v>3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f t="shared" si="9"/>
        <v>225</v>
      </c>
      <c r="R53" s="28">
        <f t="shared" si="10"/>
        <v>18.75</v>
      </c>
      <c r="S53" s="28">
        <f t="shared" si="11"/>
        <v>27.621220432519237</v>
      </c>
      <c r="T53" s="29" t="str">
        <f t="shared" si="7"/>
        <v>No</v>
      </c>
      <c r="U53" s="43">
        <f t="shared" si="12"/>
        <v>99675</v>
      </c>
      <c r="V53" s="30">
        <f t="shared" si="13"/>
        <v>1.7761904041899241E-3</v>
      </c>
      <c r="W53" s="31">
        <f t="shared" si="16"/>
        <v>0.99202229893673888</v>
      </c>
      <c r="X53" s="32" t="str">
        <f t="shared" si="14"/>
        <v>C</v>
      </c>
      <c r="Y53" s="46">
        <f t="shared" si="15"/>
        <v>0.99591493403167763</v>
      </c>
      <c r="AC53" s="44"/>
      <c r="AD53" s="44"/>
    </row>
    <row r="54" spans="1:30" hidden="1" x14ac:dyDescent="0.35">
      <c r="A54" s="28">
        <v>62932</v>
      </c>
      <c r="B54" s="43">
        <v>159</v>
      </c>
      <c r="C54" s="43">
        <v>234</v>
      </c>
      <c r="D54" s="19">
        <v>1.5</v>
      </c>
      <c r="E54" s="28">
        <v>0</v>
      </c>
      <c r="F54" s="28">
        <v>7</v>
      </c>
      <c r="G54" s="28">
        <v>88</v>
      </c>
      <c r="H54" s="28">
        <v>97</v>
      </c>
      <c r="I54" s="28">
        <v>65</v>
      </c>
      <c r="J54" s="28">
        <v>76</v>
      </c>
      <c r="K54" s="28">
        <v>6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f t="shared" si="9"/>
        <v>339</v>
      </c>
      <c r="R54" s="28">
        <f t="shared" si="10"/>
        <v>28.25</v>
      </c>
      <c r="S54" s="28">
        <f t="shared" si="11"/>
        <v>40.070676197302824</v>
      </c>
      <c r="T54" s="29" t="str">
        <f t="shared" si="7"/>
        <v>No</v>
      </c>
      <c r="U54" s="43">
        <f t="shared" si="12"/>
        <v>79326</v>
      </c>
      <c r="V54" s="30">
        <f t="shared" si="13"/>
        <v>1.4135749185128659E-3</v>
      </c>
      <c r="W54" s="31">
        <f t="shared" si="16"/>
        <v>0.99343587385525178</v>
      </c>
      <c r="X54" s="32" t="str">
        <f t="shared" si="14"/>
        <v>C</v>
      </c>
      <c r="Y54" s="46">
        <f t="shared" si="15"/>
        <v>0.99591493403167763</v>
      </c>
      <c r="AC54" s="44"/>
      <c r="AD54" s="44"/>
    </row>
    <row r="55" spans="1:30" x14ac:dyDescent="0.35">
      <c r="A55" s="28">
        <v>60475</v>
      </c>
      <c r="B55" s="43">
        <v>608</v>
      </c>
      <c r="C55" s="43">
        <v>876</v>
      </c>
      <c r="D55" s="19">
        <v>1.3</v>
      </c>
      <c r="E55" s="28">
        <v>7</v>
      </c>
      <c r="F55" s="28">
        <v>6</v>
      </c>
      <c r="G55" s="28">
        <v>8</v>
      </c>
      <c r="H55" s="28">
        <v>2</v>
      </c>
      <c r="I55" s="28">
        <v>3</v>
      </c>
      <c r="J55" s="28">
        <v>3</v>
      </c>
      <c r="K55" s="28">
        <v>14</v>
      </c>
      <c r="L55" s="28">
        <v>4</v>
      </c>
      <c r="M55" s="28">
        <v>14</v>
      </c>
      <c r="N55" s="28">
        <v>8</v>
      </c>
      <c r="O55" s="28">
        <v>3</v>
      </c>
      <c r="P55" s="28">
        <v>6</v>
      </c>
      <c r="Q55" s="28">
        <f t="shared" si="9"/>
        <v>78</v>
      </c>
      <c r="R55" s="28">
        <f t="shared" si="10"/>
        <v>6.5</v>
      </c>
      <c r="S55" s="28">
        <f t="shared" si="11"/>
        <v>4.0564202758769277</v>
      </c>
      <c r="T55" s="29" t="str">
        <f t="shared" si="7"/>
        <v>Yes</v>
      </c>
      <c r="U55" s="43">
        <f t="shared" si="12"/>
        <v>68328</v>
      </c>
      <c r="V55" s="30">
        <f t="shared" si="13"/>
        <v>1.2175925551792238E-3</v>
      </c>
      <c r="W55" s="31">
        <f t="shared" si="16"/>
        <v>0.99465346641043095</v>
      </c>
      <c r="X55" s="32" t="str">
        <f t="shared" si="14"/>
        <v>C</v>
      </c>
      <c r="Y55" s="46">
        <f t="shared" si="15"/>
        <v>0.99591493403167763</v>
      </c>
      <c r="Z55" s="1">
        <f>ROUND(SQRT(2*Q55*$F$2/(B55*$F$1)),0)</f>
        <v>14</v>
      </c>
      <c r="AA55" s="1">
        <f>ROUND(NORMSINV(Y55)*SQRT(D55)*S55,0)</f>
        <v>12</v>
      </c>
      <c r="AB55" s="1">
        <f>Z55/2+AA55</f>
        <v>19</v>
      </c>
      <c r="AC55" s="44">
        <f>AB55*B55*$F$1</f>
        <v>1501.76</v>
      </c>
      <c r="AD55" s="44">
        <f>Q55*(1-Y55)*$F$3*(C55-B55)</f>
        <v>29.887976650633753</v>
      </c>
    </row>
    <row r="56" spans="1:30" x14ac:dyDescent="0.35">
      <c r="A56" s="28">
        <v>20592</v>
      </c>
      <c r="B56" s="43">
        <v>411</v>
      </c>
      <c r="C56" s="43">
        <v>600</v>
      </c>
      <c r="D56" s="19">
        <v>1.3</v>
      </c>
      <c r="E56" s="28">
        <v>4</v>
      </c>
      <c r="F56" s="28">
        <v>9</v>
      </c>
      <c r="G56" s="28">
        <v>8</v>
      </c>
      <c r="H56" s="28">
        <v>12</v>
      </c>
      <c r="I56" s="28">
        <v>2</v>
      </c>
      <c r="J56" s="28">
        <v>5</v>
      </c>
      <c r="K56" s="28">
        <v>4</v>
      </c>
      <c r="L56" s="28">
        <v>13</v>
      </c>
      <c r="M56" s="28">
        <v>12</v>
      </c>
      <c r="N56" s="28">
        <v>14</v>
      </c>
      <c r="O56" s="28">
        <v>6</v>
      </c>
      <c r="P56" s="28">
        <v>6</v>
      </c>
      <c r="Q56" s="28">
        <f t="shared" si="9"/>
        <v>95</v>
      </c>
      <c r="R56" s="28">
        <f t="shared" si="10"/>
        <v>7.916666666666667</v>
      </c>
      <c r="S56" s="28">
        <f t="shared" si="11"/>
        <v>4.0330077504452566</v>
      </c>
      <c r="T56" s="29" t="str">
        <f t="shared" si="7"/>
        <v>Yes</v>
      </c>
      <c r="U56" s="43">
        <f t="shared" si="12"/>
        <v>57000</v>
      </c>
      <c r="V56" s="30">
        <f t="shared" si="13"/>
        <v>1.0157296517564651E-3</v>
      </c>
      <c r="W56" s="31">
        <f t="shared" si="16"/>
        <v>0.9956691960621874</v>
      </c>
      <c r="X56" s="32" t="str">
        <f t="shared" si="14"/>
        <v>C</v>
      </c>
      <c r="Y56" s="46">
        <f t="shared" si="15"/>
        <v>0.99591493403167763</v>
      </c>
      <c r="Z56" s="1">
        <f>ROUND(SQRT(2*Q56*$F$2/(B56*$F$1)),0)</f>
        <v>18</v>
      </c>
      <c r="AA56" s="1">
        <f>ROUND(NORMSINV(Y56)*SQRT(D56)*S56,0)</f>
        <v>12</v>
      </c>
      <c r="AB56" s="1">
        <f>Z56/2+AA56</f>
        <v>21</v>
      </c>
      <c r="AC56" s="44">
        <f>AB56*B56*$F$1</f>
        <v>1122.03</v>
      </c>
      <c r="AD56" s="44">
        <f>Q56*(1-Y56)*$F$3*(C56-B56)</f>
        <v>25.671575811429825</v>
      </c>
    </row>
    <row r="57" spans="1:30" x14ac:dyDescent="0.35">
      <c r="A57" s="28">
        <v>60474</v>
      </c>
      <c r="B57" s="43">
        <v>393</v>
      </c>
      <c r="C57" s="43">
        <v>543</v>
      </c>
      <c r="D57" s="19">
        <v>0.5</v>
      </c>
      <c r="E57" s="28">
        <v>6</v>
      </c>
      <c r="F57" s="28">
        <v>8</v>
      </c>
      <c r="G57" s="28">
        <v>12</v>
      </c>
      <c r="H57" s="28">
        <v>15</v>
      </c>
      <c r="I57" s="28">
        <v>9</v>
      </c>
      <c r="J57" s="28">
        <v>9</v>
      </c>
      <c r="K57" s="28">
        <v>5</v>
      </c>
      <c r="L57" s="28">
        <v>3</v>
      </c>
      <c r="M57" s="28">
        <v>4</v>
      </c>
      <c r="N57" s="28">
        <v>10</v>
      </c>
      <c r="O57" s="28">
        <v>15</v>
      </c>
      <c r="P57" s="28">
        <v>6</v>
      </c>
      <c r="Q57" s="28">
        <f t="shared" si="9"/>
        <v>102</v>
      </c>
      <c r="R57" s="28">
        <f t="shared" si="10"/>
        <v>8.5</v>
      </c>
      <c r="S57" s="28">
        <f t="shared" si="11"/>
        <v>3.9886201760873283</v>
      </c>
      <c r="T57" s="29" t="str">
        <f t="shared" si="7"/>
        <v>Yes</v>
      </c>
      <c r="U57" s="43">
        <f t="shared" si="12"/>
        <v>55386</v>
      </c>
      <c r="V57" s="30">
        <f t="shared" si="13"/>
        <v>9.8696846477515062E-4</v>
      </c>
      <c r="W57" s="31">
        <f t="shared" si="16"/>
        <v>0.9966561645269626</v>
      </c>
      <c r="X57" s="32" t="str">
        <f t="shared" si="14"/>
        <v>C</v>
      </c>
      <c r="Y57" s="46">
        <f t="shared" si="15"/>
        <v>0.99591493403167763</v>
      </c>
      <c r="Z57" s="1">
        <f>ROUND(SQRT(2*Q57*$F$2/(B57*$F$1)),0)</f>
        <v>19</v>
      </c>
      <c r="AA57" s="1">
        <f>ROUND(NORMSINV(Y57)*SQRT(D57)*S57,0)</f>
        <v>7</v>
      </c>
      <c r="AB57" s="1">
        <f>Z57/2+AA57</f>
        <v>16.5</v>
      </c>
      <c r="AC57" s="44">
        <f>AB57*B57*$F$1</f>
        <v>842.98500000000001</v>
      </c>
      <c r="AD57" s="44">
        <f>Q57*(1-Y57)*$F$3*(C57-B57)</f>
        <v>21.875528260366263</v>
      </c>
    </row>
    <row r="58" spans="1:30" x14ac:dyDescent="0.35">
      <c r="A58" s="28">
        <v>62069</v>
      </c>
      <c r="B58" s="43">
        <v>315</v>
      </c>
      <c r="C58" s="43">
        <v>447</v>
      </c>
      <c r="D58" s="19">
        <v>1.2</v>
      </c>
      <c r="E58" s="28">
        <v>12</v>
      </c>
      <c r="F58" s="28">
        <v>6</v>
      </c>
      <c r="G58" s="28">
        <v>9</v>
      </c>
      <c r="H58" s="28">
        <v>4</v>
      </c>
      <c r="I58" s="28">
        <v>7</v>
      </c>
      <c r="J58" s="28">
        <v>11</v>
      </c>
      <c r="K58" s="28">
        <v>14</v>
      </c>
      <c r="L58" s="28">
        <v>6</v>
      </c>
      <c r="M58" s="28">
        <v>12</v>
      </c>
      <c r="N58" s="28">
        <v>6</v>
      </c>
      <c r="O58" s="28">
        <v>7</v>
      </c>
      <c r="P58" s="28">
        <v>13</v>
      </c>
      <c r="Q58" s="28">
        <f t="shared" si="9"/>
        <v>107</v>
      </c>
      <c r="R58" s="28">
        <f t="shared" si="10"/>
        <v>8.9166666666666661</v>
      </c>
      <c r="S58" s="28">
        <f t="shared" si="11"/>
        <v>3.3427896171076066</v>
      </c>
      <c r="T58" s="29" t="str">
        <f t="shared" si="7"/>
        <v>Yes</v>
      </c>
      <c r="U58" s="43">
        <f t="shared" si="12"/>
        <v>47829</v>
      </c>
      <c r="V58" s="30">
        <f t="shared" si="13"/>
        <v>8.5230409673438549E-4</v>
      </c>
      <c r="W58" s="31">
        <f t="shared" si="16"/>
        <v>0.99750846862369702</v>
      </c>
      <c r="X58" s="32" t="str">
        <f t="shared" si="14"/>
        <v>C</v>
      </c>
      <c r="Y58" s="46">
        <f t="shared" si="15"/>
        <v>0.99591493403167763</v>
      </c>
      <c r="Z58" s="1">
        <f>ROUND(SQRT(2*Q58*$F$2/(B58*$F$1)),0)</f>
        <v>22</v>
      </c>
      <c r="AA58" s="1">
        <f>ROUND(NORMSINV(Y58)*SQRT(D58)*S58,0)</f>
        <v>10</v>
      </c>
      <c r="AB58" s="1">
        <f>Z58/2+AA58</f>
        <v>21</v>
      </c>
      <c r="AC58" s="44">
        <f>AB58*B58*$F$1</f>
        <v>859.95</v>
      </c>
      <c r="AD58" s="44">
        <f>Q58*(1-Y58)*$F$3*(C58-B58)</f>
        <v>20.19411510780478</v>
      </c>
    </row>
    <row r="59" spans="1:30" x14ac:dyDescent="0.35">
      <c r="A59" s="28">
        <v>60481</v>
      </c>
      <c r="B59" s="43">
        <v>259</v>
      </c>
      <c r="C59" s="43">
        <v>368</v>
      </c>
      <c r="D59" s="19">
        <v>0.5</v>
      </c>
      <c r="E59" s="28">
        <v>4</v>
      </c>
      <c r="F59" s="28">
        <v>11</v>
      </c>
      <c r="G59" s="28">
        <v>5</v>
      </c>
      <c r="H59" s="28">
        <v>8</v>
      </c>
      <c r="I59" s="28">
        <v>14</v>
      </c>
      <c r="J59" s="28">
        <v>7</v>
      </c>
      <c r="K59" s="28">
        <v>7</v>
      </c>
      <c r="L59" s="28">
        <v>11</v>
      </c>
      <c r="M59" s="28">
        <v>13</v>
      </c>
      <c r="N59" s="28">
        <v>13</v>
      </c>
      <c r="O59" s="28">
        <v>7</v>
      </c>
      <c r="P59" s="28">
        <v>14</v>
      </c>
      <c r="Q59" s="28">
        <f t="shared" si="9"/>
        <v>114</v>
      </c>
      <c r="R59" s="28">
        <f t="shared" si="10"/>
        <v>9.5</v>
      </c>
      <c r="S59" s="28">
        <f t="shared" si="11"/>
        <v>3.5802488486391302</v>
      </c>
      <c r="T59" s="29" t="str">
        <f t="shared" si="7"/>
        <v>Yes</v>
      </c>
      <c r="U59" s="43">
        <f t="shared" si="12"/>
        <v>41952</v>
      </c>
      <c r="V59" s="30">
        <f t="shared" si="13"/>
        <v>7.475770236927584E-4</v>
      </c>
      <c r="W59" s="31">
        <f t="shared" si="16"/>
        <v>0.99825604564738979</v>
      </c>
      <c r="X59" s="32" t="str">
        <f t="shared" si="14"/>
        <v>C</v>
      </c>
      <c r="Y59" s="46">
        <f t="shared" si="15"/>
        <v>0.99591493403167763</v>
      </c>
      <c r="Z59" s="1">
        <f>ROUND(SQRT(2*Q59*$F$2/(B59*$F$1)),0)</f>
        <v>25</v>
      </c>
      <c r="AA59" s="1">
        <f>ROUND(NORMSINV(Y59)*SQRT(D59)*S59,0)</f>
        <v>7</v>
      </c>
      <c r="AB59" s="1">
        <f>Z59/2+AA59</f>
        <v>19.5</v>
      </c>
      <c r="AC59" s="44">
        <f>AB59*B59*$F$1</f>
        <v>656.56500000000005</v>
      </c>
      <c r="AD59" s="44">
        <f>Q59*(1-Y59)*$F$3*(C59-B59)</f>
        <v>17.766360402830799</v>
      </c>
    </row>
    <row r="60" spans="1:30" hidden="1" x14ac:dyDescent="0.35">
      <c r="A60" s="28">
        <v>60176</v>
      </c>
      <c r="B60" s="43">
        <v>86</v>
      </c>
      <c r="C60" s="43">
        <v>124</v>
      </c>
      <c r="D60" s="19">
        <v>0.8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66</v>
      </c>
      <c r="N60" s="28">
        <v>78</v>
      </c>
      <c r="O60" s="28">
        <v>87</v>
      </c>
      <c r="P60" s="28">
        <v>83</v>
      </c>
      <c r="Q60" s="28">
        <f t="shared" si="9"/>
        <v>314</v>
      </c>
      <c r="R60" s="28">
        <f t="shared" si="10"/>
        <v>26.166666666666668</v>
      </c>
      <c r="S60" s="28">
        <f t="shared" si="11"/>
        <v>38.942459494941396</v>
      </c>
      <c r="T60" s="29" t="str">
        <f t="shared" si="7"/>
        <v>No</v>
      </c>
      <c r="U60" s="43">
        <f t="shared" si="12"/>
        <v>38936</v>
      </c>
      <c r="V60" s="30">
        <f t="shared" si="13"/>
        <v>6.9383245124192503E-4</v>
      </c>
      <c r="W60" s="31">
        <f t="shared" si="16"/>
        <v>0.99894987809863167</v>
      </c>
      <c r="X60" s="32" t="str">
        <f t="shared" si="14"/>
        <v>C</v>
      </c>
      <c r="Y60" s="46">
        <f t="shared" si="15"/>
        <v>0.99591493403167763</v>
      </c>
      <c r="AC60" s="44"/>
      <c r="AD60" s="44"/>
    </row>
    <row r="61" spans="1:30" hidden="1" x14ac:dyDescent="0.35">
      <c r="A61" s="28">
        <v>62776</v>
      </c>
      <c r="B61" s="43">
        <v>46</v>
      </c>
      <c r="C61" s="43">
        <v>67</v>
      </c>
      <c r="D61" s="19">
        <v>1.3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98</v>
      </c>
      <c r="N61" s="28">
        <v>99</v>
      </c>
      <c r="O61" s="28">
        <v>103</v>
      </c>
      <c r="P61" s="28">
        <v>154</v>
      </c>
      <c r="Q61" s="28">
        <f t="shared" si="9"/>
        <v>454</v>
      </c>
      <c r="R61" s="28">
        <f t="shared" si="10"/>
        <v>37.833333333333336</v>
      </c>
      <c r="S61" s="28">
        <f t="shared" si="11"/>
        <v>57.64599384224897</v>
      </c>
      <c r="T61" s="29" t="str">
        <f t="shared" si="7"/>
        <v>No</v>
      </c>
      <c r="U61" s="43">
        <f t="shared" si="12"/>
        <v>30418</v>
      </c>
      <c r="V61" s="30">
        <f t="shared" si="13"/>
        <v>5.4204323766891501E-4</v>
      </c>
      <c r="W61" s="31">
        <f t="shared" si="16"/>
        <v>0.9994919213363006</v>
      </c>
      <c r="X61" s="32" t="str">
        <f t="shared" si="14"/>
        <v>C</v>
      </c>
      <c r="Y61" s="46">
        <f t="shared" si="15"/>
        <v>0.99591493403167763</v>
      </c>
      <c r="AC61" s="44"/>
      <c r="AD61" s="44"/>
    </row>
    <row r="62" spans="1:30" hidden="1" x14ac:dyDescent="0.35">
      <c r="A62" s="28">
        <v>64495</v>
      </c>
      <c r="B62" s="43">
        <v>40</v>
      </c>
      <c r="C62" s="43">
        <v>56</v>
      </c>
      <c r="D62" s="19">
        <v>1.8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76</v>
      </c>
      <c r="N62" s="28">
        <v>56</v>
      </c>
      <c r="O62" s="28">
        <v>98</v>
      </c>
      <c r="P62" s="28">
        <v>77</v>
      </c>
      <c r="Q62" s="28">
        <f t="shared" si="9"/>
        <v>307</v>
      </c>
      <c r="R62" s="28">
        <f t="shared" si="10"/>
        <v>25.583333333333332</v>
      </c>
      <c r="S62" s="28">
        <f t="shared" si="11"/>
        <v>38.836389527286798</v>
      </c>
      <c r="T62" s="29" t="str">
        <f t="shared" si="7"/>
        <v>No</v>
      </c>
      <c r="U62" s="43">
        <f t="shared" si="12"/>
        <v>17192</v>
      </c>
      <c r="V62" s="30">
        <f t="shared" si="13"/>
        <v>3.063583188245114E-4</v>
      </c>
      <c r="W62" s="31">
        <f t="shared" si="16"/>
        <v>0.99979827965512513</v>
      </c>
      <c r="X62" s="32" t="str">
        <f t="shared" si="14"/>
        <v>C</v>
      </c>
      <c r="Y62" s="46">
        <f t="shared" si="15"/>
        <v>0.99591493403167763</v>
      </c>
      <c r="AC62" s="44"/>
      <c r="AD62" s="44"/>
    </row>
    <row r="63" spans="1:30" x14ac:dyDescent="0.35">
      <c r="A63" s="28">
        <v>62068</v>
      </c>
      <c r="B63" s="43">
        <v>54</v>
      </c>
      <c r="C63" s="43">
        <v>74</v>
      </c>
      <c r="D63" s="19">
        <v>0.2</v>
      </c>
      <c r="E63" s="28">
        <v>7</v>
      </c>
      <c r="F63" s="28">
        <v>12</v>
      </c>
      <c r="G63" s="28">
        <v>4</v>
      </c>
      <c r="H63" s="28">
        <v>12</v>
      </c>
      <c r="I63" s="28">
        <v>5</v>
      </c>
      <c r="J63" s="28">
        <v>8</v>
      </c>
      <c r="K63" s="28">
        <v>9</v>
      </c>
      <c r="L63" s="28">
        <v>4</v>
      </c>
      <c r="M63" s="28">
        <v>12</v>
      </c>
      <c r="N63" s="28">
        <v>3</v>
      </c>
      <c r="O63" s="28">
        <v>4</v>
      </c>
      <c r="P63" s="28">
        <v>15</v>
      </c>
      <c r="Q63" s="28">
        <f t="shared" si="9"/>
        <v>95</v>
      </c>
      <c r="R63" s="28">
        <f t="shared" si="10"/>
        <v>7.916666666666667</v>
      </c>
      <c r="S63" s="28">
        <f t="shared" si="11"/>
        <v>4.0554863699647283</v>
      </c>
      <c r="T63" s="29" t="str">
        <f t="shared" si="7"/>
        <v>Yes</v>
      </c>
      <c r="U63" s="43">
        <f t="shared" si="12"/>
        <v>7030</v>
      </c>
      <c r="V63" s="30">
        <f t="shared" si="13"/>
        <v>1.252733237166307E-4</v>
      </c>
      <c r="W63" s="31">
        <f t="shared" si="16"/>
        <v>0.99992355297884172</v>
      </c>
      <c r="X63" s="32" t="str">
        <f t="shared" si="14"/>
        <v>C</v>
      </c>
      <c r="Y63" s="46">
        <f t="shared" si="15"/>
        <v>0.99591493403167763</v>
      </c>
      <c r="Z63" s="1">
        <f>ROUND(SQRT(2*Q63*$F$2/(B63*$F$1)),0)</f>
        <v>51</v>
      </c>
      <c r="AA63" s="1">
        <f>ROUND(NORMSINV(Y63)*SQRT(D63)*S63,0)</f>
        <v>5</v>
      </c>
      <c r="AB63" s="1">
        <f>Z63/2+AA63</f>
        <v>30.5</v>
      </c>
      <c r="AC63" s="44">
        <f>AB63*B63*$F$1</f>
        <v>214.11</v>
      </c>
      <c r="AD63" s="44">
        <f>Q63*(1-Y63)*$F$3*(C63-B63)</f>
        <v>2.716568868934373</v>
      </c>
    </row>
    <row r="64" spans="1:30" x14ac:dyDescent="0.35">
      <c r="A64" s="28">
        <v>60482</v>
      </c>
      <c r="B64" s="43">
        <v>23</v>
      </c>
      <c r="C64" s="43">
        <v>33</v>
      </c>
      <c r="D64" s="19">
        <v>1.9</v>
      </c>
      <c r="E64" s="28">
        <v>14</v>
      </c>
      <c r="F64" s="28">
        <v>7</v>
      </c>
      <c r="G64" s="28">
        <v>10</v>
      </c>
      <c r="H64" s="28">
        <v>15</v>
      </c>
      <c r="I64" s="28">
        <v>8</v>
      </c>
      <c r="J64" s="28">
        <v>10</v>
      </c>
      <c r="K64" s="28">
        <v>11</v>
      </c>
      <c r="L64" s="28">
        <v>10</v>
      </c>
      <c r="M64" s="28">
        <v>11</v>
      </c>
      <c r="N64" s="28">
        <v>12</v>
      </c>
      <c r="O64" s="28">
        <v>11</v>
      </c>
      <c r="P64" s="28">
        <v>11</v>
      </c>
      <c r="Q64" s="28">
        <f t="shared" si="9"/>
        <v>130</v>
      </c>
      <c r="R64" s="28">
        <f t="shared" si="10"/>
        <v>10.833333333333334</v>
      </c>
      <c r="S64" s="28">
        <f t="shared" si="11"/>
        <v>2.2087978356535678</v>
      </c>
      <c r="T64" s="29" t="str">
        <f t="shared" si="7"/>
        <v>Yes</v>
      </c>
      <c r="U64" s="43">
        <f t="shared" si="12"/>
        <v>4290</v>
      </c>
      <c r="V64" s="30">
        <f t="shared" si="13"/>
        <v>7.6447021158512911E-5</v>
      </c>
      <c r="W64" s="31">
        <f t="shared" si="16"/>
        <v>1.0000000000000002</v>
      </c>
      <c r="X64" s="32" t="str">
        <f t="shared" si="14"/>
        <v>C</v>
      </c>
      <c r="Y64" s="46">
        <f t="shared" si="15"/>
        <v>0.99591493403167763</v>
      </c>
      <c r="Z64" s="1">
        <f>ROUND(SQRT(2*Q64*$F$2/(B64*$F$1)),0)</f>
        <v>91</v>
      </c>
      <c r="AA64" s="1">
        <f>ROUND(NORMSINV(Y64)*SQRT(D64)*S64,0)</f>
        <v>8</v>
      </c>
      <c r="AB64" s="1">
        <f>Z64/2+AA64</f>
        <v>53.5</v>
      </c>
      <c r="AC64" s="44">
        <f>AB64*B64*$F$1</f>
        <v>159.965</v>
      </c>
      <c r="AD64" s="44">
        <f>Q64*(1-Y64)*$F$3*(C64-B64)</f>
        <v>1.8587050155866764</v>
      </c>
    </row>
    <row r="65" spans="2:30" x14ac:dyDescent="0.35">
      <c r="AC65" s="44"/>
      <c r="AD65" s="44"/>
    </row>
    <row r="66" spans="2:30" x14ac:dyDescent="0.35">
      <c r="B66" s="1"/>
      <c r="C66" s="1"/>
      <c r="D66" s="1"/>
      <c r="R66" s="4"/>
      <c r="S66" s="4"/>
      <c r="T66" s="4" t="s">
        <v>79</v>
      </c>
      <c r="U66" s="43">
        <f>SUM(U6:U64)</f>
        <v>56117294.5</v>
      </c>
      <c r="AB66" s="4" t="s">
        <v>79</v>
      </c>
      <c r="AC66" s="43">
        <f>SUBTOTAL(9,AC6:AC64)</f>
        <v>165834.37000000002</v>
      </c>
      <c r="AD66" s="43">
        <f>SUBTOTAL(9,AD6:AD64)</f>
        <v>14471.383800750391</v>
      </c>
    </row>
    <row r="68" spans="2:30" ht="12.5" x14ac:dyDescent="0.25">
      <c r="B68" s="1"/>
      <c r="C68" s="1"/>
      <c r="D68" s="1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AB68" s="4" t="s">
        <v>80</v>
      </c>
      <c r="AD68" s="44">
        <f>AC66+AD66</f>
        <v>180305.75380075042</v>
      </c>
    </row>
    <row r="69" spans="2:30" ht="12.5" x14ac:dyDescent="0.25">
      <c r="B69" s="1"/>
      <c r="C69" s="1"/>
      <c r="D69" s="1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</row>
    <row r="70" spans="2:30" ht="12.5" x14ac:dyDescent="0.25">
      <c r="B70" s="1"/>
      <c r="C70" s="1"/>
      <c r="D70" s="1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</row>
    <row r="71" spans="2:30" ht="12.5" x14ac:dyDescent="0.25">
      <c r="B71" s="1"/>
      <c r="C71" s="1"/>
      <c r="D71" s="1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</row>
    <row r="72" spans="2:30" ht="12.5" x14ac:dyDescent="0.25">
      <c r="B72" s="1"/>
      <c r="C72" s="1"/>
      <c r="D72" s="1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</row>
    <row r="73" spans="2:30" ht="12.5" x14ac:dyDescent="0.25">
      <c r="B73" s="1"/>
      <c r="C73" s="1"/>
      <c r="D73" s="1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</row>
    <row r="74" spans="2:30" ht="12.5" x14ac:dyDescent="0.25">
      <c r="B74" s="1"/>
      <c r="C74" s="1"/>
      <c r="D74" s="1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</row>
    <row r="75" spans="2:30" ht="12.5" x14ac:dyDescent="0.25">
      <c r="B75" s="1"/>
      <c r="C75" s="1"/>
      <c r="D75" s="1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</row>
    <row r="76" spans="2:30" ht="12.5" x14ac:dyDescent="0.25">
      <c r="B76" s="1"/>
      <c r="C76" s="1"/>
      <c r="D76" s="1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</row>
    <row r="77" spans="2:30" ht="12.5" x14ac:dyDescent="0.25">
      <c r="B77" s="1"/>
      <c r="C77" s="1"/>
      <c r="D77" s="1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</row>
    <row r="78" spans="2:30" ht="12.5" x14ac:dyDescent="0.25">
      <c r="B78" s="1"/>
      <c r="C78" s="1"/>
      <c r="D78" s="1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</row>
    <row r="79" spans="2:30" ht="12.5" x14ac:dyDescent="0.25">
      <c r="B79" s="1"/>
      <c r="C79" s="1"/>
      <c r="D79" s="1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</row>
    <row r="80" spans="2:30" ht="12.5" x14ac:dyDescent="0.25">
      <c r="B80" s="1"/>
      <c r="C80" s="1"/>
      <c r="D80" s="1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</row>
    <row r="81" spans="5:16" s="1" customFormat="1" ht="12.5" x14ac:dyDescent="0.25"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</row>
    <row r="82" spans="5:16" s="1" customFormat="1" ht="12.5" x14ac:dyDescent="0.25"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</row>
    <row r="83" spans="5:16" s="1" customFormat="1" ht="12.5" x14ac:dyDescent="0.25"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</row>
    <row r="84" spans="5:16" s="1" customFormat="1" ht="12.5" x14ac:dyDescent="0.25"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</row>
    <row r="85" spans="5:16" s="1" customFormat="1" ht="12.5" x14ac:dyDescent="0.25"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</row>
    <row r="86" spans="5:16" s="1" customFormat="1" ht="12.5" x14ac:dyDescent="0.25"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</row>
    <row r="87" spans="5:16" s="1" customFormat="1" ht="12.5" x14ac:dyDescent="0.25"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</row>
    <row r="88" spans="5:16" s="1" customFormat="1" ht="12.5" x14ac:dyDescent="0.25"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</row>
    <row r="89" spans="5:16" s="1" customFormat="1" ht="12.5" x14ac:dyDescent="0.25"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</row>
    <row r="90" spans="5:16" s="1" customFormat="1" ht="12.5" x14ac:dyDescent="0.25"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</row>
    <row r="91" spans="5:16" s="1" customFormat="1" ht="12.5" x14ac:dyDescent="0.25"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</row>
    <row r="92" spans="5:16" s="1" customFormat="1" ht="12.5" x14ac:dyDescent="0.25"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</row>
    <row r="93" spans="5:16" s="1" customFormat="1" ht="12.5" x14ac:dyDescent="0.25"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</row>
    <row r="94" spans="5:16" s="1" customFormat="1" ht="12.5" x14ac:dyDescent="0.25"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</row>
    <row r="95" spans="5:16" s="1" customFormat="1" ht="12.5" x14ac:dyDescent="0.25"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</row>
    <row r="96" spans="5:16" s="1" customFormat="1" ht="12.5" x14ac:dyDescent="0.25"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</row>
    <row r="97" spans="5:16" s="1" customFormat="1" ht="12.5" x14ac:dyDescent="0.25"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</row>
    <row r="98" spans="5:16" s="1" customFormat="1" ht="12.5" x14ac:dyDescent="0.25"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</row>
    <row r="99" spans="5:16" s="1" customFormat="1" ht="12.5" x14ac:dyDescent="0.25"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</row>
    <row r="100" spans="5:16" s="1" customFormat="1" ht="12.5" x14ac:dyDescent="0.25"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</row>
    <row r="101" spans="5:16" s="1" customFormat="1" ht="12.5" x14ac:dyDescent="0.25"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</row>
    <row r="102" spans="5:16" s="1" customFormat="1" ht="12.5" x14ac:dyDescent="0.25"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</row>
    <row r="103" spans="5:16" s="1" customFormat="1" ht="12.5" x14ac:dyDescent="0.25"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</row>
    <row r="104" spans="5:16" s="1" customFormat="1" ht="12.5" x14ac:dyDescent="0.25"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</row>
    <row r="105" spans="5:16" s="1" customFormat="1" ht="12.5" x14ac:dyDescent="0.25"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</row>
    <row r="106" spans="5:16" s="1" customFormat="1" ht="12.5" x14ac:dyDescent="0.25"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</row>
    <row r="107" spans="5:16" s="1" customFormat="1" ht="12.5" x14ac:dyDescent="0.25"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</row>
    <row r="108" spans="5:16" s="1" customFormat="1" ht="12.5" x14ac:dyDescent="0.25"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</row>
    <row r="109" spans="5:16" s="1" customFormat="1" ht="12.5" x14ac:dyDescent="0.25"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</row>
    <row r="110" spans="5:16" s="1" customFormat="1" ht="12.5" x14ac:dyDescent="0.25"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</row>
    <row r="111" spans="5:16" s="1" customFormat="1" ht="12.5" x14ac:dyDescent="0.25"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</row>
    <row r="112" spans="5:16" s="1" customFormat="1" ht="12.5" x14ac:dyDescent="0.25"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</row>
    <row r="113" spans="5:16" s="1" customFormat="1" ht="12.5" x14ac:dyDescent="0.25"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</row>
    <row r="114" spans="5:16" s="1" customFormat="1" ht="12.5" x14ac:dyDescent="0.25"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</row>
    <row r="115" spans="5:16" s="1" customFormat="1" ht="12.5" x14ac:dyDescent="0.25"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</row>
    <row r="116" spans="5:16" s="1" customFormat="1" ht="12.5" x14ac:dyDescent="0.25"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</row>
    <row r="117" spans="5:16" s="1" customFormat="1" ht="12.5" x14ac:dyDescent="0.25"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</row>
    <row r="118" spans="5:16" s="1" customFormat="1" ht="12.5" x14ac:dyDescent="0.25"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</row>
    <row r="119" spans="5:16" s="1" customFormat="1" ht="12.5" x14ac:dyDescent="0.25"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</row>
    <row r="120" spans="5:16" s="1" customFormat="1" ht="12.5" x14ac:dyDescent="0.25"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</row>
    <row r="121" spans="5:16" s="1" customFormat="1" ht="12.5" x14ac:dyDescent="0.25"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</row>
    <row r="122" spans="5:16" s="1" customFormat="1" ht="12.5" x14ac:dyDescent="0.25"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</row>
    <row r="123" spans="5:16" s="1" customFormat="1" ht="12.5" x14ac:dyDescent="0.25"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</row>
    <row r="124" spans="5:16" s="1" customFormat="1" ht="12.5" x14ac:dyDescent="0.25"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</row>
    <row r="125" spans="5:16" s="1" customFormat="1" ht="12.5" x14ac:dyDescent="0.25"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</row>
    <row r="126" spans="5:16" s="1" customFormat="1" ht="12.5" x14ac:dyDescent="0.25"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</row>
    <row r="127" spans="5:16" s="1" customFormat="1" ht="12.5" x14ac:dyDescent="0.25"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</row>
    <row r="128" spans="5:16" s="1" customFormat="1" ht="12.5" x14ac:dyDescent="0.25"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</row>
    <row r="129" spans="5:16" s="1" customFormat="1" ht="12.5" x14ac:dyDescent="0.25"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</row>
    <row r="130" spans="5:16" s="1" customFormat="1" ht="12.5" x14ac:dyDescent="0.25"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</row>
    <row r="131" spans="5:16" s="1" customFormat="1" ht="12.5" x14ac:dyDescent="0.25"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</row>
    <row r="132" spans="5:16" s="1" customFormat="1" ht="12.5" x14ac:dyDescent="0.25"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</row>
    <row r="133" spans="5:16" s="1" customFormat="1" ht="12.5" x14ac:dyDescent="0.25"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</row>
    <row r="134" spans="5:16" s="1" customFormat="1" ht="12.5" x14ac:dyDescent="0.25"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</row>
    <row r="135" spans="5:16" s="1" customFormat="1" ht="12.5" x14ac:dyDescent="0.25"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</row>
    <row r="136" spans="5:16" s="1" customFormat="1" ht="12.5" x14ac:dyDescent="0.25"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</row>
    <row r="137" spans="5:16" s="1" customFormat="1" ht="12.5" x14ac:dyDescent="0.25"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</row>
    <row r="138" spans="5:16" s="1" customFormat="1" ht="12.5" x14ac:dyDescent="0.25"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</row>
    <row r="139" spans="5:16" s="1" customFormat="1" ht="12.5" x14ac:dyDescent="0.25"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</row>
    <row r="140" spans="5:16" s="1" customFormat="1" ht="12.5" x14ac:dyDescent="0.25"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</row>
    <row r="141" spans="5:16" s="1" customFormat="1" ht="12.5" x14ac:dyDescent="0.25"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</row>
    <row r="142" spans="5:16" s="1" customFormat="1" ht="12.5" x14ac:dyDescent="0.25"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</row>
    <row r="143" spans="5:16" s="1" customFormat="1" ht="12.5" x14ac:dyDescent="0.25"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</row>
    <row r="144" spans="5:16" s="1" customFormat="1" ht="12.5" x14ac:dyDescent="0.25"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</row>
    <row r="145" spans="5:16" s="1" customFormat="1" ht="12.5" x14ac:dyDescent="0.25"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</row>
    <row r="146" spans="5:16" s="1" customFormat="1" ht="12.5" x14ac:dyDescent="0.25"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</row>
    <row r="147" spans="5:16" s="1" customFormat="1" ht="12.5" x14ac:dyDescent="0.25"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</row>
    <row r="148" spans="5:16" s="1" customFormat="1" ht="12.5" x14ac:dyDescent="0.25"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</row>
    <row r="149" spans="5:16" s="1" customFormat="1" ht="12.5" x14ac:dyDescent="0.25"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</row>
    <row r="150" spans="5:16" s="1" customFormat="1" ht="12.5" x14ac:dyDescent="0.25"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</row>
    <row r="151" spans="5:16" s="1" customFormat="1" ht="12.5" x14ac:dyDescent="0.25"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</row>
    <row r="152" spans="5:16" s="1" customFormat="1" ht="12.5" x14ac:dyDescent="0.25"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</row>
    <row r="153" spans="5:16" s="1" customFormat="1" ht="12.5" x14ac:dyDescent="0.25"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</row>
    <row r="154" spans="5:16" s="1" customFormat="1" ht="12.5" x14ac:dyDescent="0.25"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</row>
    <row r="155" spans="5:16" s="1" customFormat="1" ht="12.5" x14ac:dyDescent="0.25"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</row>
    <row r="156" spans="5:16" s="1" customFormat="1" ht="12.5" x14ac:dyDescent="0.25"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</row>
    <row r="157" spans="5:16" s="1" customFormat="1" ht="12.5" x14ac:dyDescent="0.25"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</row>
    <row r="158" spans="5:16" s="1" customFormat="1" ht="12.5" x14ac:dyDescent="0.25"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</row>
    <row r="159" spans="5:16" s="1" customFormat="1" ht="12.5" x14ac:dyDescent="0.25"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</row>
    <row r="160" spans="5:16" s="1" customFormat="1" ht="12.5" x14ac:dyDescent="0.25"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</row>
    <row r="161" spans="5:16" s="1" customFormat="1" ht="12.5" x14ac:dyDescent="0.25"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</row>
    <row r="162" spans="5:16" s="1" customFormat="1" ht="12.5" x14ac:dyDescent="0.25"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</row>
    <row r="163" spans="5:16" s="1" customFormat="1" ht="12.5" x14ac:dyDescent="0.25"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</row>
    <row r="164" spans="5:16" s="1" customFormat="1" ht="12.5" x14ac:dyDescent="0.25"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</row>
    <row r="165" spans="5:16" s="1" customFormat="1" ht="12.5" x14ac:dyDescent="0.25"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</row>
    <row r="166" spans="5:16" s="1" customFormat="1" ht="12.5" x14ac:dyDescent="0.25"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</row>
    <row r="167" spans="5:16" s="1" customFormat="1" ht="12.5" x14ac:dyDescent="0.25"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</row>
    <row r="168" spans="5:16" s="1" customFormat="1" ht="12.5" x14ac:dyDescent="0.25"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</row>
    <row r="169" spans="5:16" s="1" customFormat="1" ht="12.5" x14ac:dyDescent="0.25"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</row>
    <row r="170" spans="5:16" s="1" customFormat="1" ht="12.5" x14ac:dyDescent="0.25"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</row>
    <row r="171" spans="5:16" s="1" customFormat="1" ht="12.5" x14ac:dyDescent="0.25"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</row>
    <row r="172" spans="5:16" s="1" customFormat="1" ht="12.5" x14ac:dyDescent="0.25"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</row>
    <row r="173" spans="5:16" s="1" customFormat="1" ht="12.5" x14ac:dyDescent="0.25"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</row>
    <row r="174" spans="5:16" s="1" customFormat="1" ht="12.5" x14ac:dyDescent="0.25"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</row>
    <row r="175" spans="5:16" s="1" customFormat="1" ht="12.5" x14ac:dyDescent="0.25"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</row>
    <row r="176" spans="5:16" s="1" customFormat="1" ht="12.5" x14ac:dyDescent="0.25"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</row>
    <row r="177" spans="5:16" s="1" customFormat="1" ht="12.5" x14ac:dyDescent="0.25"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</row>
    <row r="178" spans="5:16" s="1" customFormat="1" ht="12.5" x14ac:dyDescent="0.25"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</row>
    <row r="179" spans="5:16" s="1" customFormat="1" ht="12.5" x14ac:dyDescent="0.25"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</row>
    <row r="180" spans="5:16" s="1" customFormat="1" ht="12.5" x14ac:dyDescent="0.25"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</row>
    <row r="181" spans="5:16" s="1" customFormat="1" ht="12.5" x14ac:dyDescent="0.25"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</row>
    <row r="182" spans="5:16" s="1" customFormat="1" ht="12.5" x14ac:dyDescent="0.25"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</row>
    <row r="183" spans="5:16" s="1" customFormat="1" ht="12.5" x14ac:dyDescent="0.25"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</row>
    <row r="184" spans="5:16" s="1" customFormat="1" ht="12.5" x14ac:dyDescent="0.25"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</row>
    <row r="185" spans="5:16" s="1" customFormat="1" ht="12.5" x14ac:dyDescent="0.25"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</row>
    <row r="186" spans="5:16" s="1" customFormat="1" ht="12.5" x14ac:dyDescent="0.25"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</row>
    <row r="187" spans="5:16" s="1" customFormat="1" ht="12.5" x14ac:dyDescent="0.25"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</row>
    <row r="188" spans="5:16" s="1" customFormat="1" ht="12.5" x14ac:dyDescent="0.25"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</row>
    <row r="189" spans="5:16" s="1" customFormat="1" ht="12.5" x14ac:dyDescent="0.25"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</row>
    <row r="190" spans="5:16" s="1" customFormat="1" ht="12.5" x14ac:dyDescent="0.25"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</row>
    <row r="191" spans="5:16" s="1" customFormat="1" ht="12.5" x14ac:dyDescent="0.25"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</row>
    <row r="192" spans="5:16" s="1" customFormat="1" ht="12.5" x14ac:dyDescent="0.25"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</row>
    <row r="193" spans="5:16" s="1" customFormat="1" ht="12.5" x14ac:dyDescent="0.25"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</row>
    <row r="194" spans="5:16" s="1" customFormat="1" ht="12.5" x14ac:dyDescent="0.25"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</row>
    <row r="195" spans="5:16" s="1" customFormat="1" ht="12.5" x14ac:dyDescent="0.25"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</row>
    <row r="196" spans="5:16" s="1" customFormat="1" ht="12.5" x14ac:dyDescent="0.25"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</row>
    <row r="197" spans="5:16" s="1" customFormat="1" ht="12.5" x14ac:dyDescent="0.25"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</row>
    <row r="198" spans="5:16" s="1" customFormat="1" ht="12.5" x14ac:dyDescent="0.25"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</row>
    <row r="199" spans="5:16" s="1" customFormat="1" ht="12.5" x14ac:dyDescent="0.25"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</row>
    <row r="200" spans="5:16" s="1" customFormat="1" ht="12.5" x14ac:dyDescent="0.25"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</row>
    <row r="201" spans="5:16" s="1" customFormat="1" ht="12.5" x14ac:dyDescent="0.25"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</row>
    <row r="202" spans="5:16" s="1" customFormat="1" ht="12.5" x14ac:dyDescent="0.25"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</row>
    <row r="203" spans="5:16" s="1" customFormat="1" ht="12.5" x14ac:dyDescent="0.25"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</row>
    <row r="204" spans="5:16" s="1" customFormat="1" ht="12.5" x14ac:dyDescent="0.25"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</row>
    <row r="205" spans="5:16" s="1" customFormat="1" ht="12.5" x14ac:dyDescent="0.25"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</row>
    <row r="206" spans="5:16" s="1" customFormat="1" ht="12.5" x14ac:dyDescent="0.25"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</row>
    <row r="207" spans="5:16" s="1" customFormat="1" ht="12.5" x14ac:dyDescent="0.25"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</row>
    <row r="208" spans="5:16" s="1" customFormat="1" ht="12.5" x14ac:dyDescent="0.25"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</row>
    <row r="209" spans="5:16" s="1" customFormat="1" ht="12.5" x14ac:dyDescent="0.25"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</row>
    <row r="210" spans="5:16" s="1" customFormat="1" ht="12.5" x14ac:dyDescent="0.25"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</row>
    <row r="211" spans="5:16" s="1" customFormat="1" ht="12.5" x14ac:dyDescent="0.25"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</row>
    <row r="212" spans="5:16" s="1" customFormat="1" ht="12.5" x14ac:dyDescent="0.25"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</row>
    <row r="213" spans="5:16" s="1" customFormat="1" ht="12.5" x14ac:dyDescent="0.25"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</row>
    <row r="214" spans="5:16" s="1" customFormat="1" ht="12.5" x14ac:dyDescent="0.25"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</row>
    <row r="215" spans="5:16" s="1" customFormat="1" ht="12.5" x14ac:dyDescent="0.25"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</row>
    <row r="216" spans="5:16" s="1" customFormat="1" ht="12.5" x14ac:dyDescent="0.25"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</row>
    <row r="217" spans="5:16" s="1" customFormat="1" ht="12.5" x14ac:dyDescent="0.25"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</row>
    <row r="218" spans="5:16" s="1" customFormat="1" ht="12.5" x14ac:dyDescent="0.25"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</row>
    <row r="219" spans="5:16" s="1" customFormat="1" ht="12.5" x14ac:dyDescent="0.25"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</row>
    <row r="220" spans="5:16" s="1" customFormat="1" ht="12.5" x14ac:dyDescent="0.25"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</row>
    <row r="221" spans="5:16" s="1" customFormat="1" ht="12.5" x14ac:dyDescent="0.25"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</row>
    <row r="222" spans="5:16" s="1" customFormat="1" ht="12.5" x14ac:dyDescent="0.25"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</row>
    <row r="223" spans="5:16" s="1" customFormat="1" ht="12.5" x14ac:dyDescent="0.25"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</row>
    <row r="224" spans="5:16" s="1" customFormat="1" ht="12.5" x14ac:dyDescent="0.25"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</row>
    <row r="225" spans="5:16" s="1" customFormat="1" ht="12.5" x14ac:dyDescent="0.25"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</row>
    <row r="226" spans="5:16" s="1" customFormat="1" ht="12.5" x14ac:dyDescent="0.25"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</row>
    <row r="227" spans="5:16" s="1" customFormat="1" ht="12.5" x14ac:dyDescent="0.25"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</row>
    <row r="228" spans="5:16" s="1" customFormat="1" ht="12.5" x14ac:dyDescent="0.25"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</row>
    <row r="229" spans="5:16" s="1" customFormat="1" ht="12.5" x14ac:dyDescent="0.25"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</row>
    <row r="230" spans="5:16" s="1" customFormat="1" ht="12.5" x14ac:dyDescent="0.25"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</row>
    <row r="231" spans="5:16" s="1" customFormat="1" ht="12.5" x14ac:dyDescent="0.25"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</row>
    <row r="232" spans="5:16" s="1" customFormat="1" ht="12.5" x14ac:dyDescent="0.25"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</row>
    <row r="233" spans="5:16" s="1" customFormat="1" ht="12.5" x14ac:dyDescent="0.25"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</row>
    <row r="234" spans="5:16" s="1" customFormat="1" ht="12.5" x14ac:dyDescent="0.25"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</row>
    <row r="235" spans="5:16" s="1" customFormat="1" ht="12.5" x14ac:dyDescent="0.25"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</row>
    <row r="236" spans="5:16" s="1" customFormat="1" ht="12.5" x14ac:dyDescent="0.25"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</row>
    <row r="237" spans="5:16" s="1" customFormat="1" ht="12.5" x14ac:dyDescent="0.25"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</row>
    <row r="238" spans="5:16" s="1" customFormat="1" ht="12.5" x14ac:dyDescent="0.25"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</row>
    <row r="239" spans="5:16" s="1" customFormat="1" ht="12.5" x14ac:dyDescent="0.25"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</row>
    <row r="240" spans="5:16" s="1" customFormat="1" ht="12.5" x14ac:dyDescent="0.25"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</row>
    <row r="241" spans="5:16" s="1" customFormat="1" ht="12.5" x14ac:dyDescent="0.25"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</row>
    <row r="242" spans="5:16" s="1" customFormat="1" ht="12.5" x14ac:dyDescent="0.25"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</row>
    <row r="243" spans="5:16" s="1" customFormat="1" ht="12.5" x14ac:dyDescent="0.25"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</row>
    <row r="244" spans="5:16" s="1" customFormat="1" ht="12.5" x14ac:dyDescent="0.25"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</row>
    <row r="245" spans="5:16" s="1" customFormat="1" ht="12.5" x14ac:dyDescent="0.25"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</row>
    <row r="246" spans="5:16" s="1" customFormat="1" ht="12.5" x14ac:dyDescent="0.25"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</row>
    <row r="247" spans="5:16" s="1" customFormat="1" ht="12.5" x14ac:dyDescent="0.25"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</row>
    <row r="248" spans="5:16" s="1" customFormat="1" ht="12.5" x14ac:dyDescent="0.25"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</row>
    <row r="249" spans="5:16" s="1" customFormat="1" ht="12.5" x14ac:dyDescent="0.25"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</row>
    <row r="250" spans="5:16" s="1" customFormat="1" ht="12.5" x14ac:dyDescent="0.25"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</row>
    <row r="251" spans="5:16" s="1" customFormat="1" ht="12.5" x14ac:dyDescent="0.25"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</row>
    <row r="252" spans="5:16" s="1" customFormat="1" ht="12.5" x14ac:dyDescent="0.25"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</row>
    <row r="253" spans="5:16" s="1" customFormat="1" ht="12.5" x14ac:dyDescent="0.25"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</row>
    <row r="254" spans="5:16" s="1" customFormat="1" ht="12.5" x14ac:dyDescent="0.25"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</row>
    <row r="255" spans="5:16" s="1" customFormat="1" ht="12.5" x14ac:dyDescent="0.25"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</row>
    <row r="256" spans="5:16" s="1" customFormat="1" ht="12.5" x14ac:dyDescent="0.25"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</row>
    <row r="257" spans="5:16" s="1" customFormat="1" ht="12.5" x14ac:dyDescent="0.25"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</row>
    <row r="258" spans="5:16" s="1" customFormat="1" ht="12.5" x14ac:dyDescent="0.25"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</row>
    <row r="259" spans="5:16" s="1" customFormat="1" ht="12.5" x14ac:dyDescent="0.25"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</row>
    <row r="260" spans="5:16" s="1" customFormat="1" ht="12.5" x14ac:dyDescent="0.25"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</row>
    <row r="261" spans="5:16" s="1" customFormat="1" ht="12.5" x14ac:dyDescent="0.25"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</row>
    <row r="262" spans="5:16" s="1" customFormat="1" ht="12.5" x14ac:dyDescent="0.25"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</row>
    <row r="263" spans="5:16" s="1" customFormat="1" ht="12.5" x14ac:dyDescent="0.25"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</row>
    <row r="264" spans="5:16" s="1" customFormat="1" ht="12.5" x14ac:dyDescent="0.25"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</row>
    <row r="265" spans="5:16" s="1" customFormat="1" ht="12.5" x14ac:dyDescent="0.25"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</row>
    <row r="266" spans="5:16" s="1" customFormat="1" ht="12.5" x14ac:dyDescent="0.25"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</row>
    <row r="267" spans="5:16" s="1" customFormat="1" ht="12.5" x14ac:dyDescent="0.25"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</row>
    <row r="268" spans="5:16" s="1" customFormat="1" ht="12.5" x14ac:dyDescent="0.25"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</row>
    <row r="269" spans="5:16" s="1" customFormat="1" ht="12.5" x14ac:dyDescent="0.25"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</row>
    <row r="270" spans="5:16" s="1" customFormat="1" ht="12.5" x14ac:dyDescent="0.25"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</row>
    <row r="271" spans="5:16" s="1" customFormat="1" ht="12.5" x14ac:dyDescent="0.25"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</row>
    <row r="272" spans="5:16" s="1" customFormat="1" ht="12.5" x14ac:dyDescent="0.25"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</row>
    <row r="273" spans="5:16" s="1" customFormat="1" ht="12.5" x14ac:dyDescent="0.25"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</row>
    <row r="274" spans="5:16" s="1" customFormat="1" ht="12.5" x14ac:dyDescent="0.25"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</row>
    <row r="275" spans="5:16" s="1" customFormat="1" ht="12.5" x14ac:dyDescent="0.25"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</row>
    <row r="276" spans="5:16" s="1" customFormat="1" ht="12.5" x14ac:dyDescent="0.25"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</row>
    <row r="277" spans="5:16" s="1" customFormat="1" ht="12.5" x14ac:dyDescent="0.25"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</row>
    <row r="278" spans="5:16" s="1" customFormat="1" ht="12.5" x14ac:dyDescent="0.25"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</row>
    <row r="279" spans="5:16" s="1" customFormat="1" ht="12.5" x14ac:dyDescent="0.25"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</row>
    <row r="280" spans="5:16" s="1" customFormat="1" ht="12.5" x14ac:dyDescent="0.25"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</row>
    <row r="281" spans="5:16" s="1" customFormat="1" ht="12.5" x14ac:dyDescent="0.25"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</row>
    <row r="282" spans="5:16" s="1" customFormat="1" ht="12.5" x14ac:dyDescent="0.25"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</row>
    <row r="283" spans="5:16" s="1" customFormat="1" ht="12.5" x14ac:dyDescent="0.25"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</row>
    <row r="284" spans="5:16" s="1" customFormat="1" ht="12.5" x14ac:dyDescent="0.25"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</row>
    <row r="285" spans="5:16" s="1" customFormat="1" ht="12.5" x14ac:dyDescent="0.25"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</row>
    <row r="286" spans="5:16" s="1" customFormat="1" ht="12.5" x14ac:dyDescent="0.25"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</row>
    <row r="287" spans="5:16" s="1" customFormat="1" ht="12.5" x14ac:dyDescent="0.25"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</row>
    <row r="288" spans="5:16" s="1" customFormat="1" ht="12.5" x14ac:dyDescent="0.25"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</row>
    <row r="289" spans="5:16" s="1" customFormat="1" ht="12.5" x14ac:dyDescent="0.25"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</row>
    <row r="290" spans="5:16" s="1" customFormat="1" ht="12.5" x14ac:dyDescent="0.25"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</row>
    <row r="291" spans="5:16" s="1" customFormat="1" ht="12.5" x14ac:dyDescent="0.25"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</row>
    <row r="292" spans="5:16" s="1" customFormat="1" ht="12.5" x14ac:dyDescent="0.25"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</row>
    <row r="293" spans="5:16" s="1" customFormat="1" ht="12.5" x14ac:dyDescent="0.25"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</row>
    <row r="294" spans="5:16" s="1" customFormat="1" ht="12.5" x14ac:dyDescent="0.25"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</row>
    <row r="295" spans="5:16" s="1" customFormat="1" ht="12.5" x14ac:dyDescent="0.25"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</row>
    <row r="296" spans="5:16" s="1" customFormat="1" ht="12.5" x14ac:dyDescent="0.25"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</row>
    <row r="297" spans="5:16" s="1" customFormat="1" ht="12.5" x14ac:dyDescent="0.25"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</row>
    <row r="298" spans="5:16" s="1" customFormat="1" ht="12.5" x14ac:dyDescent="0.25"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</row>
    <row r="299" spans="5:16" s="1" customFormat="1" ht="12.5" x14ac:dyDescent="0.25"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</row>
    <row r="300" spans="5:16" s="1" customFormat="1" ht="12.5" x14ac:dyDescent="0.25"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</row>
    <row r="301" spans="5:16" s="1" customFormat="1" ht="12.5" x14ac:dyDescent="0.25"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</row>
    <row r="302" spans="5:16" s="1" customFormat="1" ht="12.5" x14ac:dyDescent="0.25"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</row>
    <row r="303" spans="5:16" s="1" customFormat="1" ht="12.5" x14ac:dyDescent="0.25"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</row>
    <row r="304" spans="5:16" s="1" customFormat="1" ht="12.5" x14ac:dyDescent="0.25"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</row>
    <row r="305" spans="5:16" s="1" customFormat="1" ht="12.5" x14ac:dyDescent="0.25"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</row>
    <row r="306" spans="5:16" s="1" customFormat="1" ht="12.5" x14ac:dyDescent="0.25"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</row>
    <row r="307" spans="5:16" s="1" customFormat="1" ht="12.5" x14ac:dyDescent="0.25"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</row>
    <row r="308" spans="5:16" s="1" customFormat="1" ht="12.5" x14ac:dyDescent="0.25"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</row>
    <row r="309" spans="5:16" s="1" customFormat="1" ht="12.5" x14ac:dyDescent="0.25"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</row>
    <row r="310" spans="5:16" s="1" customFormat="1" ht="12.5" x14ac:dyDescent="0.25"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</row>
    <row r="311" spans="5:16" s="1" customFormat="1" ht="12.5" x14ac:dyDescent="0.25"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</row>
    <row r="312" spans="5:16" s="1" customFormat="1" ht="12.5" x14ac:dyDescent="0.25"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</row>
    <row r="313" spans="5:16" s="1" customFormat="1" ht="12.5" x14ac:dyDescent="0.25"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</row>
    <row r="314" spans="5:16" s="1" customFormat="1" ht="12.5" x14ac:dyDescent="0.25"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</row>
    <row r="315" spans="5:16" s="1" customFormat="1" ht="12.5" x14ac:dyDescent="0.25"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</row>
    <row r="316" spans="5:16" s="1" customFormat="1" ht="12.5" x14ac:dyDescent="0.25"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</row>
    <row r="317" spans="5:16" s="1" customFormat="1" ht="12.5" x14ac:dyDescent="0.25"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</row>
    <row r="318" spans="5:16" s="1" customFormat="1" ht="12.5" x14ac:dyDescent="0.25"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</row>
    <row r="319" spans="5:16" s="1" customFormat="1" ht="12.5" x14ac:dyDescent="0.25"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</row>
    <row r="320" spans="5:16" s="1" customFormat="1" ht="12.5" x14ac:dyDescent="0.25"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</row>
    <row r="321" spans="5:16" s="1" customFormat="1" ht="12.5" x14ac:dyDescent="0.25"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</row>
    <row r="322" spans="5:16" s="1" customFormat="1" ht="12.5" x14ac:dyDescent="0.25"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</row>
    <row r="323" spans="5:16" s="1" customFormat="1" ht="12.5" x14ac:dyDescent="0.25"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</row>
    <row r="324" spans="5:16" s="1" customFormat="1" ht="12.5" x14ac:dyDescent="0.25"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</row>
    <row r="325" spans="5:16" s="1" customFormat="1" ht="12.5" x14ac:dyDescent="0.25"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</row>
    <row r="326" spans="5:16" s="1" customFormat="1" ht="12.5" x14ac:dyDescent="0.25"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</row>
    <row r="327" spans="5:16" s="1" customFormat="1" ht="12.5" x14ac:dyDescent="0.25"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</row>
    <row r="328" spans="5:16" s="1" customFormat="1" ht="12.5" x14ac:dyDescent="0.25"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</row>
    <row r="329" spans="5:16" s="1" customFormat="1" ht="12.5" x14ac:dyDescent="0.25"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</row>
    <row r="330" spans="5:16" s="1" customFormat="1" ht="12.5" x14ac:dyDescent="0.25"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</row>
    <row r="331" spans="5:16" s="1" customFormat="1" ht="12.5" x14ac:dyDescent="0.25"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</row>
    <row r="332" spans="5:16" s="1" customFormat="1" ht="12.5" x14ac:dyDescent="0.25"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</row>
    <row r="333" spans="5:16" s="1" customFormat="1" ht="12.5" x14ac:dyDescent="0.25"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</row>
    <row r="334" spans="5:16" s="1" customFormat="1" ht="12.5" x14ac:dyDescent="0.25"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</row>
    <row r="335" spans="5:16" s="1" customFormat="1" ht="12.5" x14ac:dyDescent="0.25"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</row>
    <row r="336" spans="5:16" s="1" customFormat="1" ht="12.5" x14ac:dyDescent="0.25"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</row>
    <row r="337" spans="5:16" s="1" customFormat="1" ht="12.5" x14ac:dyDescent="0.25"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</row>
    <row r="338" spans="5:16" s="1" customFormat="1" ht="12.5" x14ac:dyDescent="0.25"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</row>
    <row r="339" spans="5:16" s="1" customFormat="1" ht="12.5" x14ac:dyDescent="0.25"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</row>
    <row r="340" spans="5:16" s="1" customFormat="1" ht="12.5" x14ac:dyDescent="0.25"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</row>
    <row r="341" spans="5:16" s="1" customFormat="1" ht="12.5" x14ac:dyDescent="0.25"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</row>
    <row r="342" spans="5:16" s="1" customFormat="1" ht="12.5" x14ac:dyDescent="0.25"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</row>
    <row r="343" spans="5:16" s="1" customFormat="1" ht="12.5" x14ac:dyDescent="0.25"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</row>
    <row r="344" spans="5:16" s="1" customFormat="1" ht="12.5" x14ac:dyDescent="0.25"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</row>
    <row r="345" spans="5:16" s="1" customFormat="1" ht="12.5" x14ac:dyDescent="0.25"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</row>
    <row r="346" spans="5:16" s="1" customFormat="1" ht="12.5" x14ac:dyDescent="0.25"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</row>
    <row r="347" spans="5:16" s="1" customFormat="1" ht="12.5" x14ac:dyDescent="0.25"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</row>
    <row r="348" spans="5:16" s="1" customFormat="1" ht="12.5" x14ac:dyDescent="0.25"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</row>
    <row r="349" spans="5:16" s="1" customFormat="1" ht="12.5" x14ac:dyDescent="0.25"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</row>
    <row r="350" spans="5:16" s="1" customFormat="1" ht="12.5" x14ac:dyDescent="0.25"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</row>
    <row r="351" spans="5:16" s="1" customFormat="1" ht="12.5" x14ac:dyDescent="0.25"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</row>
    <row r="352" spans="5:16" s="1" customFormat="1" ht="12.5" x14ac:dyDescent="0.25"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</row>
    <row r="353" spans="5:16" s="1" customFormat="1" ht="12.5" x14ac:dyDescent="0.25"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</row>
    <row r="354" spans="5:16" s="1" customFormat="1" ht="12.5" x14ac:dyDescent="0.25"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</row>
    <row r="355" spans="5:16" s="1" customFormat="1" ht="12.5" x14ac:dyDescent="0.25"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</row>
    <row r="356" spans="5:16" s="1" customFormat="1" ht="12.5" x14ac:dyDescent="0.25"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</row>
    <row r="357" spans="5:16" s="1" customFormat="1" ht="12.5" x14ac:dyDescent="0.25"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</row>
    <row r="358" spans="5:16" s="1" customFormat="1" ht="12.5" x14ac:dyDescent="0.25"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</row>
    <row r="359" spans="5:16" s="1" customFormat="1" ht="12.5" x14ac:dyDescent="0.25"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</row>
    <row r="360" spans="5:16" s="1" customFormat="1" ht="12.5" x14ac:dyDescent="0.25"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</row>
    <row r="361" spans="5:16" s="1" customFormat="1" ht="12.5" x14ac:dyDescent="0.25"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</row>
    <row r="362" spans="5:16" s="1" customFormat="1" ht="12.5" x14ac:dyDescent="0.25"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</row>
    <row r="363" spans="5:16" s="1" customFormat="1" ht="12.5" x14ac:dyDescent="0.25"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</row>
    <row r="364" spans="5:16" s="1" customFormat="1" ht="12.5" x14ac:dyDescent="0.25"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</row>
    <row r="365" spans="5:16" s="1" customFormat="1" ht="12.5" x14ac:dyDescent="0.25"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</row>
    <row r="366" spans="5:16" s="1" customFormat="1" ht="12.5" x14ac:dyDescent="0.25"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</row>
    <row r="367" spans="5:16" s="1" customFormat="1" ht="12.5" x14ac:dyDescent="0.25"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</row>
    <row r="368" spans="5:16" s="1" customFormat="1" ht="12.5" x14ac:dyDescent="0.25"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</row>
    <row r="369" spans="5:16" s="1" customFormat="1" ht="12.5" x14ac:dyDescent="0.25"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</row>
    <row r="370" spans="5:16" s="1" customFormat="1" ht="12.5" x14ac:dyDescent="0.25"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</row>
    <row r="371" spans="5:16" s="1" customFormat="1" ht="12.5" x14ac:dyDescent="0.25"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</row>
    <row r="372" spans="5:16" s="1" customFormat="1" ht="12.5" x14ac:dyDescent="0.25"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</row>
    <row r="373" spans="5:16" s="1" customFormat="1" ht="12.5" x14ac:dyDescent="0.25"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</row>
    <row r="374" spans="5:16" s="1" customFormat="1" ht="12.5" x14ac:dyDescent="0.25"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</row>
    <row r="375" spans="5:16" s="1" customFormat="1" ht="12.5" x14ac:dyDescent="0.25"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</row>
    <row r="376" spans="5:16" s="1" customFormat="1" ht="12.5" x14ac:dyDescent="0.25"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</row>
    <row r="377" spans="5:16" s="1" customFormat="1" ht="12.5" x14ac:dyDescent="0.25"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</row>
    <row r="378" spans="5:16" s="1" customFormat="1" ht="12.5" x14ac:dyDescent="0.25"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</row>
    <row r="379" spans="5:16" s="1" customFormat="1" ht="12.5" x14ac:dyDescent="0.25"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</row>
    <row r="380" spans="5:16" s="1" customFormat="1" ht="12.5" x14ac:dyDescent="0.25"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</row>
    <row r="381" spans="5:16" s="1" customFormat="1" ht="12.5" x14ac:dyDescent="0.25"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</row>
    <row r="382" spans="5:16" s="1" customFormat="1" ht="12.5" x14ac:dyDescent="0.25"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</row>
    <row r="383" spans="5:16" s="1" customFormat="1" ht="12.5" x14ac:dyDescent="0.25"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</row>
    <row r="384" spans="5:16" s="1" customFormat="1" ht="12.5" x14ac:dyDescent="0.25"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</row>
    <row r="385" spans="5:16" s="1" customFormat="1" ht="12.5" x14ac:dyDescent="0.25"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</row>
    <row r="386" spans="5:16" s="1" customFormat="1" ht="12.5" x14ac:dyDescent="0.25"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</row>
    <row r="387" spans="5:16" s="1" customFormat="1" ht="12.5" x14ac:dyDescent="0.25"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</row>
    <row r="388" spans="5:16" s="1" customFormat="1" ht="12.5" x14ac:dyDescent="0.25"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</row>
    <row r="389" spans="5:16" s="1" customFormat="1" ht="12.5" x14ac:dyDescent="0.25"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</row>
    <row r="390" spans="5:16" s="1" customFormat="1" ht="12.5" x14ac:dyDescent="0.25"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</row>
    <row r="391" spans="5:16" s="1" customFormat="1" ht="12.5" x14ac:dyDescent="0.25"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</row>
    <row r="392" spans="5:16" s="1" customFormat="1" ht="12.5" x14ac:dyDescent="0.25"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</row>
    <row r="393" spans="5:16" s="1" customFormat="1" ht="12.5" x14ac:dyDescent="0.25"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</row>
    <row r="394" spans="5:16" s="1" customFormat="1" ht="12.5" x14ac:dyDescent="0.25"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</row>
    <row r="395" spans="5:16" s="1" customFormat="1" ht="12.5" x14ac:dyDescent="0.25"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</row>
    <row r="396" spans="5:16" s="1" customFormat="1" ht="12.5" x14ac:dyDescent="0.25"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</row>
    <row r="397" spans="5:16" s="1" customFormat="1" ht="12.5" x14ac:dyDescent="0.25"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</row>
    <row r="398" spans="5:16" s="1" customFormat="1" ht="12.5" x14ac:dyDescent="0.25"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</row>
    <row r="399" spans="5:16" s="1" customFormat="1" ht="12.5" x14ac:dyDescent="0.25"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</row>
    <row r="400" spans="5:16" s="1" customFormat="1" ht="12.5" x14ac:dyDescent="0.25"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</row>
    <row r="401" spans="5:16" s="1" customFormat="1" ht="12.5" x14ac:dyDescent="0.25"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</row>
    <row r="402" spans="5:16" s="1" customFormat="1" ht="12.5" x14ac:dyDescent="0.25"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</row>
    <row r="403" spans="5:16" s="1" customFormat="1" ht="12.5" x14ac:dyDescent="0.25"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</row>
    <row r="404" spans="5:16" s="1" customFormat="1" ht="12.5" x14ac:dyDescent="0.25"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</row>
    <row r="405" spans="5:16" s="1" customFormat="1" ht="12.5" x14ac:dyDescent="0.25"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</row>
    <row r="406" spans="5:16" s="1" customFormat="1" ht="12.5" x14ac:dyDescent="0.25"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</row>
    <row r="407" spans="5:16" s="1" customFormat="1" ht="12.5" x14ac:dyDescent="0.25"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</row>
    <row r="408" spans="5:16" s="1" customFormat="1" ht="12.5" x14ac:dyDescent="0.25"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</row>
    <row r="409" spans="5:16" s="1" customFormat="1" ht="12.5" x14ac:dyDescent="0.25"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</row>
    <row r="410" spans="5:16" s="1" customFormat="1" ht="12.5" x14ac:dyDescent="0.25"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</row>
    <row r="411" spans="5:16" s="1" customFormat="1" ht="12.5" x14ac:dyDescent="0.25"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</row>
    <row r="412" spans="5:16" s="1" customFormat="1" ht="12.5" x14ac:dyDescent="0.25"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</row>
    <row r="413" spans="5:16" s="1" customFormat="1" ht="12.5" x14ac:dyDescent="0.25"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</row>
    <row r="414" spans="5:16" s="1" customFormat="1" ht="12.5" x14ac:dyDescent="0.25"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</row>
    <row r="415" spans="5:16" s="1" customFormat="1" ht="12.5" x14ac:dyDescent="0.25"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</row>
    <row r="416" spans="5:16" s="1" customFormat="1" ht="12.5" x14ac:dyDescent="0.25"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</row>
    <row r="417" spans="5:16" s="1" customFormat="1" ht="12.5" x14ac:dyDescent="0.25"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</row>
    <row r="418" spans="5:16" s="1" customFormat="1" ht="12.5" x14ac:dyDescent="0.25"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</row>
    <row r="419" spans="5:16" s="1" customFormat="1" ht="12.5" x14ac:dyDescent="0.25"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</row>
    <row r="420" spans="5:16" s="1" customFormat="1" ht="12.5" x14ac:dyDescent="0.25"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</row>
    <row r="421" spans="5:16" s="1" customFormat="1" ht="12.5" x14ac:dyDescent="0.25"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</row>
    <row r="422" spans="5:16" s="1" customFormat="1" ht="12.5" x14ac:dyDescent="0.25"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</row>
    <row r="423" spans="5:16" s="1" customFormat="1" ht="12.5" x14ac:dyDescent="0.25"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</row>
    <row r="424" spans="5:16" s="1" customFormat="1" ht="12.5" x14ac:dyDescent="0.25"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</row>
    <row r="425" spans="5:16" s="1" customFormat="1" ht="12.5" x14ac:dyDescent="0.25"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</row>
    <row r="426" spans="5:16" s="1" customFormat="1" ht="12.5" x14ac:dyDescent="0.25"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</row>
    <row r="427" spans="5:16" s="1" customFormat="1" ht="12.5" x14ac:dyDescent="0.25"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</row>
    <row r="428" spans="5:16" s="1" customFormat="1" ht="12.5" x14ac:dyDescent="0.25"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</row>
    <row r="429" spans="5:16" s="1" customFormat="1" ht="12.5" x14ac:dyDescent="0.25"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</row>
    <row r="430" spans="5:16" s="1" customFormat="1" ht="12.5" x14ac:dyDescent="0.25"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</row>
    <row r="431" spans="5:16" s="1" customFormat="1" ht="12.5" x14ac:dyDescent="0.25"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</row>
    <row r="432" spans="5:16" s="1" customFormat="1" ht="12.5" x14ac:dyDescent="0.25"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</row>
    <row r="433" spans="5:16" s="1" customFormat="1" ht="12.5" x14ac:dyDescent="0.25"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</row>
    <row r="434" spans="5:16" s="1" customFormat="1" ht="12.5" x14ac:dyDescent="0.25"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</row>
    <row r="435" spans="5:16" s="1" customFormat="1" ht="12.5" x14ac:dyDescent="0.25"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</row>
    <row r="436" spans="5:16" s="1" customFormat="1" ht="12.5" x14ac:dyDescent="0.25"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</row>
    <row r="437" spans="5:16" s="1" customFormat="1" ht="12.5" x14ac:dyDescent="0.25"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</row>
    <row r="438" spans="5:16" s="1" customFormat="1" ht="12.5" x14ac:dyDescent="0.25"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</row>
    <row r="439" spans="5:16" s="1" customFormat="1" ht="12.5" x14ac:dyDescent="0.25"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</row>
    <row r="440" spans="5:16" s="1" customFormat="1" ht="12.5" x14ac:dyDescent="0.25"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</row>
    <row r="441" spans="5:16" s="1" customFormat="1" ht="12.5" x14ac:dyDescent="0.25"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</row>
    <row r="442" spans="5:16" s="1" customFormat="1" ht="12.5" x14ac:dyDescent="0.25"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</row>
    <row r="443" spans="5:16" s="1" customFormat="1" ht="12.5" x14ac:dyDescent="0.25"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</row>
    <row r="444" spans="5:16" s="1" customFormat="1" ht="12.5" x14ac:dyDescent="0.25"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</row>
    <row r="445" spans="5:16" s="1" customFormat="1" ht="12.5" x14ac:dyDescent="0.25"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</row>
    <row r="446" spans="5:16" s="1" customFormat="1" ht="12.5" x14ac:dyDescent="0.25"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</row>
    <row r="447" spans="5:16" s="1" customFormat="1" ht="12.5" x14ac:dyDescent="0.25"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</row>
    <row r="448" spans="5:16" s="1" customFormat="1" ht="12.5" x14ac:dyDescent="0.25"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</row>
    <row r="449" spans="5:16" s="1" customFormat="1" ht="12.5" x14ac:dyDescent="0.25"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</row>
    <row r="450" spans="5:16" s="1" customFormat="1" ht="12.5" x14ac:dyDescent="0.25"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</row>
    <row r="451" spans="5:16" s="1" customFormat="1" ht="12.5" x14ac:dyDescent="0.25"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</row>
    <row r="452" spans="5:16" s="1" customFormat="1" ht="12.5" x14ac:dyDescent="0.25"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</row>
    <row r="453" spans="5:16" s="1" customFormat="1" ht="12.5" x14ac:dyDescent="0.25"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</row>
    <row r="454" spans="5:16" s="1" customFormat="1" ht="12.5" x14ac:dyDescent="0.25"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</row>
    <row r="455" spans="5:16" s="1" customFormat="1" ht="12.5" x14ac:dyDescent="0.25"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</row>
    <row r="456" spans="5:16" s="1" customFormat="1" ht="12.5" x14ac:dyDescent="0.25"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</row>
    <row r="457" spans="5:16" s="1" customFormat="1" ht="12.5" x14ac:dyDescent="0.25"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</row>
    <row r="458" spans="5:16" s="1" customFormat="1" ht="12.5" x14ac:dyDescent="0.25"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</row>
    <row r="459" spans="5:16" s="1" customFormat="1" ht="12.5" x14ac:dyDescent="0.25"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</row>
    <row r="460" spans="5:16" s="1" customFormat="1" ht="12.5" x14ac:dyDescent="0.25"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</row>
    <row r="461" spans="5:16" s="1" customFormat="1" ht="12.5" x14ac:dyDescent="0.25"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</row>
    <row r="462" spans="5:16" s="1" customFormat="1" ht="12.5" x14ac:dyDescent="0.25"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</row>
    <row r="463" spans="5:16" s="1" customFormat="1" ht="12.5" x14ac:dyDescent="0.25"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</row>
    <row r="464" spans="5:16" s="1" customFormat="1" ht="12.5" x14ac:dyDescent="0.25"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</row>
    <row r="465" spans="5:16" s="1" customFormat="1" ht="12.5" x14ac:dyDescent="0.25"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</row>
    <row r="466" spans="5:16" s="1" customFormat="1" ht="12.5" x14ac:dyDescent="0.25"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</row>
    <row r="467" spans="5:16" s="1" customFormat="1" ht="12.5" x14ac:dyDescent="0.25"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</row>
    <row r="468" spans="5:16" s="1" customFormat="1" ht="12.5" x14ac:dyDescent="0.25"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</row>
    <row r="469" spans="5:16" s="1" customFormat="1" ht="12.5" x14ac:dyDescent="0.25"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</row>
    <row r="470" spans="5:16" s="1" customFormat="1" ht="12.5" x14ac:dyDescent="0.25"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</row>
    <row r="471" spans="5:16" s="1" customFormat="1" ht="12.5" x14ac:dyDescent="0.25"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</row>
    <row r="472" spans="5:16" s="1" customFormat="1" ht="12.5" x14ac:dyDescent="0.25"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</row>
    <row r="473" spans="5:16" s="1" customFormat="1" ht="12.5" x14ac:dyDescent="0.25"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</row>
    <row r="474" spans="5:16" s="1" customFormat="1" ht="12.5" x14ac:dyDescent="0.25"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</row>
    <row r="475" spans="5:16" s="1" customFormat="1" ht="12.5" x14ac:dyDescent="0.25"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</row>
    <row r="476" spans="5:16" s="1" customFormat="1" ht="12.5" x14ac:dyDescent="0.25"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</row>
    <row r="477" spans="5:16" s="1" customFormat="1" ht="12.5" x14ac:dyDescent="0.25"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</row>
    <row r="478" spans="5:16" s="1" customFormat="1" ht="12.5" x14ac:dyDescent="0.25"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</row>
    <row r="479" spans="5:16" s="1" customFormat="1" ht="12.5" x14ac:dyDescent="0.25"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</row>
    <row r="480" spans="5:16" s="1" customFormat="1" ht="12.5" x14ac:dyDescent="0.25"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</row>
    <row r="481" spans="5:16" s="1" customFormat="1" ht="12.5" x14ac:dyDescent="0.25"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</row>
    <row r="482" spans="5:16" s="1" customFormat="1" ht="12.5" x14ac:dyDescent="0.25"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</row>
    <row r="483" spans="5:16" s="1" customFormat="1" ht="12.5" x14ac:dyDescent="0.25"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</row>
    <row r="484" spans="5:16" s="1" customFormat="1" ht="12.5" x14ac:dyDescent="0.25"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</row>
    <row r="485" spans="5:16" s="1" customFormat="1" ht="12.5" x14ac:dyDescent="0.25"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</row>
    <row r="486" spans="5:16" s="1" customFormat="1" ht="12.5" x14ac:dyDescent="0.25"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</row>
    <row r="487" spans="5:16" s="1" customFormat="1" ht="12.5" x14ac:dyDescent="0.25"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</row>
    <row r="488" spans="5:16" s="1" customFormat="1" ht="12.5" x14ac:dyDescent="0.25"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</row>
    <row r="489" spans="5:16" s="1" customFormat="1" ht="12.5" x14ac:dyDescent="0.25"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</row>
    <row r="490" spans="5:16" s="1" customFormat="1" ht="12.5" x14ac:dyDescent="0.25"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</row>
    <row r="491" spans="5:16" s="1" customFormat="1" ht="12.5" x14ac:dyDescent="0.25"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</row>
    <row r="492" spans="5:16" s="1" customFormat="1" ht="12.5" x14ac:dyDescent="0.25"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</row>
    <row r="493" spans="5:16" s="1" customFormat="1" ht="12.5" x14ac:dyDescent="0.25"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</row>
    <row r="494" spans="5:16" s="1" customFormat="1" ht="12.5" x14ac:dyDescent="0.25"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</row>
    <row r="495" spans="5:16" s="1" customFormat="1" ht="12.5" x14ac:dyDescent="0.25"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</row>
    <row r="496" spans="5:16" s="1" customFormat="1" ht="12.5" x14ac:dyDescent="0.25"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</row>
    <row r="497" spans="5:16" s="1" customFormat="1" ht="12.5" x14ac:dyDescent="0.25"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</row>
    <row r="498" spans="5:16" s="1" customFormat="1" ht="12.5" x14ac:dyDescent="0.25"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</row>
    <row r="499" spans="5:16" s="1" customFormat="1" ht="12.5" x14ac:dyDescent="0.25"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</row>
    <row r="500" spans="5:16" s="1" customFormat="1" ht="12.5" x14ac:dyDescent="0.25"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</row>
    <row r="501" spans="5:16" s="1" customFormat="1" ht="12.5" x14ac:dyDescent="0.25"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</row>
    <row r="502" spans="5:16" s="1" customFormat="1" ht="12.5" x14ac:dyDescent="0.25"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</row>
    <row r="503" spans="5:16" s="1" customFormat="1" ht="12.5" x14ac:dyDescent="0.25"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</row>
    <row r="504" spans="5:16" s="1" customFormat="1" ht="12.5" x14ac:dyDescent="0.25"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</row>
    <row r="505" spans="5:16" s="1" customFormat="1" ht="12.5" x14ac:dyDescent="0.25"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</row>
    <row r="506" spans="5:16" s="1" customFormat="1" ht="12.5" x14ac:dyDescent="0.25"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</row>
    <row r="507" spans="5:16" s="1" customFormat="1" ht="12.5" x14ac:dyDescent="0.25"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</row>
    <row r="508" spans="5:16" s="1" customFormat="1" ht="12.5" x14ac:dyDescent="0.25"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</row>
    <row r="509" spans="5:16" s="1" customFormat="1" ht="12.5" x14ac:dyDescent="0.25"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</row>
    <row r="510" spans="5:16" s="1" customFormat="1" ht="12.5" x14ac:dyDescent="0.25"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</row>
    <row r="511" spans="5:16" s="1" customFormat="1" ht="12.5" x14ac:dyDescent="0.25"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</row>
    <row r="512" spans="5:16" s="1" customFormat="1" ht="12.5" x14ac:dyDescent="0.25"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</row>
    <row r="513" spans="5:16" s="1" customFormat="1" ht="12.5" x14ac:dyDescent="0.25"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</row>
    <row r="514" spans="5:16" s="1" customFormat="1" ht="12.5" x14ac:dyDescent="0.25"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</row>
    <row r="515" spans="5:16" s="1" customFormat="1" ht="12.5" x14ac:dyDescent="0.25"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</row>
    <row r="516" spans="5:16" s="1" customFormat="1" ht="12.5" x14ac:dyDescent="0.25"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</row>
    <row r="517" spans="5:16" s="1" customFormat="1" ht="12.5" x14ac:dyDescent="0.25"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</row>
    <row r="518" spans="5:16" s="1" customFormat="1" ht="12.5" x14ac:dyDescent="0.25"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</row>
    <row r="519" spans="5:16" s="1" customFormat="1" ht="12.5" x14ac:dyDescent="0.25"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</row>
    <row r="520" spans="5:16" s="1" customFormat="1" ht="12.5" x14ac:dyDescent="0.25"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</row>
    <row r="521" spans="5:16" s="1" customFormat="1" ht="12.5" x14ac:dyDescent="0.25"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</row>
    <row r="522" spans="5:16" s="1" customFormat="1" ht="12.5" x14ac:dyDescent="0.25"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</row>
    <row r="523" spans="5:16" s="1" customFormat="1" ht="12.5" x14ac:dyDescent="0.25"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</row>
    <row r="524" spans="5:16" s="1" customFormat="1" ht="12.5" x14ac:dyDescent="0.25"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</row>
    <row r="525" spans="5:16" s="1" customFormat="1" ht="12.5" x14ac:dyDescent="0.25"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</row>
    <row r="526" spans="5:16" s="1" customFormat="1" ht="12.5" x14ac:dyDescent="0.25"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</row>
    <row r="527" spans="5:16" s="1" customFormat="1" ht="12.5" x14ac:dyDescent="0.25"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</row>
    <row r="528" spans="5:16" s="1" customFormat="1" ht="12.5" x14ac:dyDescent="0.25"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</row>
    <row r="529" spans="5:16" s="1" customFormat="1" ht="12.5" x14ac:dyDescent="0.25"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</row>
    <row r="530" spans="5:16" s="1" customFormat="1" ht="12.5" x14ac:dyDescent="0.25"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</row>
    <row r="531" spans="5:16" s="1" customFormat="1" ht="12.5" x14ac:dyDescent="0.25"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</row>
    <row r="532" spans="5:16" s="1" customFormat="1" ht="12.5" x14ac:dyDescent="0.25"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</row>
    <row r="533" spans="5:16" s="1" customFormat="1" ht="12.5" x14ac:dyDescent="0.25"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</row>
    <row r="534" spans="5:16" s="1" customFormat="1" ht="12.5" x14ac:dyDescent="0.25"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</row>
    <row r="535" spans="5:16" s="1" customFormat="1" ht="12.5" x14ac:dyDescent="0.25"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</row>
    <row r="536" spans="5:16" s="1" customFormat="1" ht="12.5" x14ac:dyDescent="0.25"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</row>
    <row r="537" spans="5:16" s="1" customFormat="1" ht="12.5" x14ac:dyDescent="0.25"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</row>
    <row r="538" spans="5:16" s="1" customFormat="1" ht="12.5" x14ac:dyDescent="0.25"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</row>
    <row r="539" spans="5:16" s="1" customFormat="1" ht="12.5" x14ac:dyDescent="0.25"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</row>
    <row r="540" spans="5:16" s="1" customFormat="1" ht="12.5" x14ac:dyDescent="0.25"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</row>
    <row r="541" spans="5:16" s="1" customFormat="1" ht="12.5" x14ac:dyDescent="0.25"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</row>
    <row r="542" spans="5:16" s="1" customFormat="1" ht="12.5" x14ac:dyDescent="0.25"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</row>
    <row r="543" spans="5:16" s="1" customFormat="1" ht="12.5" x14ac:dyDescent="0.25"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</row>
    <row r="544" spans="5:16" s="1" customFormat="1" ht="12.5" x14ac:dyDescent="0.25"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</row>
    <row r="545" spans="5:16" s="1" customFormat="1" ht="12.5" x14ac:dyDescent="0.25"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</row>
    <row r="546" spans="5:16" s="1" customFormat="1" ht="12.5" x14ac:dyDescent="0.25"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</row>
    <row r="547" spans="5:16" s="1" customFormat="1" ht="12.5" x14ac:dyDescent="0.25"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</row>
    <row r="548" spans="5:16" s="1" customFormat="1" ht="12.5" x14ac:dyDescent="0.25"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</row>
    <row r="549" spans="5:16" s="1" customFormat="1" ht="12.5" x14ac:dyDescent="0.25"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</row>
    <row r="550" spans="5:16" s="1" customFormat="1" ht="12.5" x14ac:dyDescent="0.25"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</row>
    <row r="551" spans="5:16" s="1" customFormat="1" ht="12.5" x14ac:dyDescent="0.25"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</row>
    <row r="552" spans="5:16" s="1" customFormat="1" ht="12.5" x14ac:dyDescent="0.25"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</row>
    <row r="553" spans="5:16" s="1" customFormat="1" ht="12.5" x14ac:dyDescent="0.25"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</row>
    <row r="554" spans="5:16" s="1" customFormat="1" ht="12.5" x14ac:dyDescent="0.25"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</row>
    <row r="555" spans="5:16" s="1" customFormat="1" ht="12.5" x14ac:dyDescent="0.25"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</row>
    <row r="556" spans="5:16" s="1" customFormat="1" ht="12.5" x14ac:dyDescent="0.25"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</row>
    <row r="557" spans="5:16" s="1" customFormat="1" ht="12.5" x14ac:dyDescent="0.25"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</row>
    <row r="558" spans="5:16" s="1" customFormat="1" ht="12.5" x14ac:dyDescent="0.25"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</row>
    <row r="559" spans="5:16" s="1" customFormat="1" ht="12.5" x14ac:dyDescent="0.25"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</row>
    <row r="560" spans="5:16" s="1" customFormat="1" ht="12.5" x14ac:dyDescent="0.25"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</row>
    <row r="561" spans="5:16" s="1" customFormat="1" ht="12.5" x14ac:dyDescent="0.25"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</row>
    <row r="562" spans="5:16" s="1" customFormat="1" ht="12.5" x14ac:dyDescent="0.25"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</row>
    <row r="563" spans="5:16" s="1" customFormat="1" ht="12.5" x14ac:dyDescent="0.25"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</row>
    <row r="564" spans="5:16" s="1" customFormat="1" ht="12.5" x14ac:dyDescent="0.25"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</row>
    <row r="565" spans="5:16" s="1" customFormat="1" ht="12.5" x14ac:dyDescent="0.25"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</row>
    <row r="566" spans="5:16" s="1" customFormat="1" ht="12.5" x14ac:dyDescent="0.25"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</row>
    <row r="567" spans="5:16" s="1" customFormat="1" ht="12.5" x14ac:dyDescent="0.25"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</row>
    <row r="568" spans="5:16" s="1" customFormat="1" ht="12.5" x14ac:dyDescent="0.25"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</row>
    <row r="569" spans="5:16" s="1" customFormat="1" ht="12.5" x14ac:dyDescent="0.25"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</row>
    <row r="570" spans="5:16" s="1" customFormat="1" ht="12.5" x14ac:dyDescent="0.25"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</row>
    <row r="571" spans="5:16" s="1" customFormat="1" ht="12.5" x14ac:dyDescent="0.25"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</row>
    <row r="572" spans="5:16" s="1" customFormat="1" ht="12.5" x14ac:dyDescent="0.25"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</row>
    <row r="573" spans="5:16" s="1" customFormat="1" ht="12.5" x14ac:dyDescent="0.25"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</row>
    <row r="574" spans="5:16" s="1" customFormat="1" ht="12.5" x14ac:dyDescent="0.25"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</row>
    <row r="575" spans="5:16" s="1" customFormat="1" ht="12.5" x14ac:dyDescent="0.25"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</row>
    <row r="576" spans="5:16" s="1" customFormat="1" ht="12.5" x14ac:dyDescent="0.25"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</row>
    <row r="577" spans="5:16" s="1" customFormat="1" ht="12.5" x14ac:dyDescent="0.25"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</row>
    <row r="578" spans="5:16" s="1" customFormat="1" ht="12.5" x14ac:dyDescent="0.25"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</row>
    <row r="579" spans="5:16" s="1" customFormat="1" ht="12.5" x14ac:dyDescent="0.25"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</row>
    <row r="580" spans="5:16" s="1" customFormat="1" ht="12.5" x14ac:dyDescent="0.25"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</row>
    <row r="581" spans="5:16" s="1" customFormat="1" ht="12.5" x14ac:dyDescent="0.25"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</row>
    <row r="582" spans="5:16" s="1" customFormat="1" ht="12.5" x14ac:dyDescent="0.25"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</row>
    <row r="583" spans="5:16" s="1" customFormat="1" ht="12.5" x14ac:dyDescent="0.25"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</row>
    <row r="584" spans="5:16" s="1" customFormat="1" ht="12.5" x14ac:dyDescent="0.25"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</row>
    <row r="585" spans="5:16" s="1" customFormat="1" ht="12.5" x14ac:dyDescent="0.25"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</row>
    <row r="586" spans="5:16" s="1" customFormat="1" ht="12.5" x14ac:dyDescent="0.25"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</row>
    <row r="587" spans="5:16" s="1" customFormat="1" ht="12.5" x14ac:dyDescent="0.25"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</row>
    <row r="588" spans="5:16" s="1" customFormat="1" ht="12.5" x14ac:dyDescent="0.25"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</row>
    <row r="589" spans="5:16" s="1" customFormat="1" ht="12.5" x14ac:dyDescent="0.25"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</row>
    <row r="590" spans="5:16" s="1" customFormat="1" ht="12.5" x14ac:dyDescent="0.25"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</row>
    <row r="591" spans="5:16" s="1" customFormat="1" ht="12.5" x14ac:dyDescent="0.25"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</row>
    <row r="592" spans="5:16" s="1" customFormat="1" ht="12.5" x14ac:dyDescent="0.25"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</row>
    <row r="593" spans="5:16" s="1" customFormat="1" ht="12.5" x14ac:dyDescent="0.25"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</row>
    <row r="594" spans="5:16" s="1" customFormat="1" ht="12.5" x14ac:dyDescent="0.25"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</row>
    <row r="595" spans="5:16" s="1" customFormat="1" ht="12.5" x14ac:dyDescent="0.25"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</row>
    <row r="596" spans="5:16" s="1" customFormat="1" ht="12.5" x14ac:dyDescent="0.25"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</row>
    <row r="597" spans="5:16" s="1" customFormat="1" ht="12.5" x14ac:dyDescent="0.25"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</row>
    <row r="598" spans="5:16" s="1" customFormat="1" ht="12.5" x14ac:dyDescent="0.25"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</row>
    <row r="599" spans="5:16" s="1" customFormat="1" ht="12.5" x14ac:dyDescent="0.25"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</row>
    <row r="600" spans="5:16" s="1" customFormat="1" ht="12.5" x14ac:dyDescent="0.25"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</row>
    <row r="601" spans="5:16" s="1" customFormat="1" ht="12.5" x14ac:dyDescent="0.25"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</row>
    <row r="602" spans="5:16" s="1" customFormat="1" ht="12.5" x14ac:dyDescent="0.25"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</row>
    <row r="603" spans="5:16" s="1" customFormat="1" ht="12.5" x14ac:dyDescent="0.25"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</row>
    <row r="604" spans="5:16" s="1" customFormat="1" ht="12.5" x14ac:dyDescent="0.25"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</row>
    <row r="605" spans="5:16" s="1" customFormat="1" ht="12.5" x14ac:dyDescent="0.25"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</row>
    <row r="606" spans="5:16" s="1" customFormat="1" ht="12.5" x14ac:dyDescent="0.25"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</row>
    <row r="607" spans="5:16" s="1" customFormat="1" ht="12.5" x14ac:dyDescent="0.25"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</row>
    <row r="608" spans="5:16" s="1" customFormat="1" ht="12.5" x14ac:dyDescent="0.25"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</row>
    <row r="609" spans="5:16" s="1" customFormat="1" ht="12.5" x14ac:dyDescent="0.25"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</row>
    <row r="610" spans="5:16" s="1" customFormat="1" ht="12.5" x14ac:dyDescent="0.25"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</row>
    <row r="611" spans="5:16" s="1" customFormat="1" ht="12.5" x14ac:dyDescent="0.25"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</row>
    <row r="612" spans="5:16" s="1" customFormat="1" ht="12.5" x14ac:dyDescent="0.25"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</row>
    <row r="613" spans="5:16" s="1" customFormat="1" ht="12.5" x14ac:dyDescent="0.25"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</row>
    <row r="614" spans="5:16" s="1" customFormat="1" ht="12.5" x14ac:dyDescent="0.25"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</row>
    <row r="615" spans="5:16" s="1" customFormat="1" ht="12.5" x14ac:dyDescent="0.25"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</row>
    <row r="616" spans="5:16" s="1" customFormat="1" ht="12.5" x14ac:dyDescent="0.25"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</row>
    <row r="617" spans="5:16" s="1" customFormat="1" ht="12.5" x14ac:dyDescent="0.25"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</row>
    <row r="618" spans="5:16" s="1" customFormat="1" ht="12.5" x14ac:dyDescent="0.25"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</row>
    <row r="619" spans="5:16" s="1" customFormat="1" ht="12.5" x14ac:dyDescent="0.25"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</row>
    <row r="620" spans="5:16" s="1" customFormat="1" ht="12.5" x14ac:dyDescent="0.25"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</row>
    <row r="621" spans="5:16" s="1" customFormat="1" ht="12.5" x14ac:dyDescent="0.25"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</row>
    <row r="622" spans="5:16" s="1" customFormat="1" ht="12.5" x14ac:dyDescent="0.25"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</row>
    <row r="623" spans="5:16" s="1" customFormat="1" ht="12.5" x14ac:dyDescent="0.25"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</row>
    <row r="624" spans="5:16" s="1" customFormat="1" ht="12.5" x14ac:dyDescent="0.25"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</row>
    <row r="625" spans="5:16" s="1" customFormat="1" ht="12.5" x14ac:dyDescent="0.25"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</row>
    <row r="626" spans="5:16" s="1" customFormat="1" ht="12.5" x14ac:dyDescent="0.25"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</row>
    <row r="627" spans="5:16" s="1" customFormat="1" ht="12.5" x14ac:dyDescent="0.25"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</row>
    <row r="628" spans="5:16" s="1" customFormat="1" ht="12.5" x14ac:dyDescent="0.25"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</row>
    <row r="629" spans="5:16" s="1" customFormat="1" ht="12.5" x14ac:dyDescent="0.25"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</row>
    <row r="630" spans="5:16" s="1" customFormat="1" ht="12.5" x14ac:dyDescent="0.25"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</row>
    <row r="631" spans="5:16" s="1" customFormat="1" ht="12.5" x14ac:dyDescent="0.25"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</row>
    <row r="632" spans="5:16" s="1" customFormat="1" ht="12.5" x14ac:dyDescent="0.25"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</row>
    <row r="633" spans="5:16" s="1" customFormat="1" ht="12.5" x14ac:dyDescent="0.25"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</row>
    <row r="634" spans="5:16" s="1" customFormat="1" ht="12.5" x14ac:dyDescent="0.25"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</row>
    <row r="635" spans="5:16" s="1" customFormat="1" ht="12.5" x14ac:dyDescent="0.25"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</row>
    <row r="636" spans="5:16" s="1" customFormat="1" ht="12.5" x14ac:dyDescent="0.25"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</row>
    <row r="637" spans="5:16" s="1" customFormat="1" ht="12.5" x14ac:dyDescent="0.25"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</row>
    <row r="638" spans="5:16" s="1" customFormat="1" ht="12.5" x14ac:dyDescent="0.25"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</row>
    <row r="639" spans="5:16" s="1" customFormat="1" ht="12.5" x14ac:dyDescent="0.25"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</row>
    <row r="640" spans="5:16" s="1" customFormat="1" ht="12.5" x14ac:dyDescent="0.25"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</row>
    <row r="641" spans="5:16" s="1" customFormat="1" ht="12.5" x14ac:dyDescent="0.25"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</row>
    <row r="642" spans="5:16" s="1" customFormat="1" ht="12.5" x14ac:dyDescent="0.25"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</row>
    <row r="643" spans="5:16" s="1" customFormat="1" ht="12.5" x14ac:dyDescent="0.25"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</row>
    <row r="644" spans="5:16" s="1" customFormat="1" ht="12.5" x14ac:dyDescent="0.25"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</row>
    <row r="645" spans="5:16" s="1" customFormat="1" ht="12.5" x14ac:dyDescent="0.25"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</row>
    <row r="646" spans="5:16" s="1" customFormat="1" ht="12.5" x14ac:dyDescent="0.25"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</row>
    <row r="647" spans="5:16" s="1" customFormat="1" ht="12.5" x14ac:dyDescent="0.25"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</row>
    <row r="648" spans="5:16" s="1" customFormat="1" ht="12.5" x14ac:dyDescent="0.25"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</row>
    <row r="649" spans="5:16" s="1" customFormat="1" ht="12.5" x14ac:dyDescent="0.25"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</row>
    <row r="650" spans="5:16" s="1" customFormat="1" ht="12.5" x14ac:dyDescent="0.25"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</row>
    <row r="651" spans="5:16" s="1" customFormat="1" ht="12.5" x14ac:dyDescent="0.25"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</row>
    <row r="652" spans="5:16" s="1" customFormat="1" ht="12.5" x14ac:dyDescent="0.25"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</row>
    <row r="653" spans="5:16" s="1" customFormat="1" ht="12.5" x14ac:dyDescent="0.25"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</row>
    <row r="654" spans="5:16" s="1" customFormat="1" ht="12.5" x14ac:dyDescent="0.25"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</row>
    <row r="655" spans="5:16" s="1" customFormat="1" ht="12.5" x14ac:dyDescent="0.25"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</row>
    <row r="656" spans="5:16" s="1" customFormat="1" ht="12.5" x14ac:dyDescent="0.25"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</row>
    <row r="657" spans="5:16" s="1" customFormat="1" ht="12.5" x14ac:dyDescent="0.25"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</row>
    <row r="658" spans="5:16" s="1" customFormat="1" ht="12.5" x14ac:dyDescent="0.25"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</row>
    <row r="659" spans="5:16" s="1" customFormat="1" ht="12.5" x14ac:dyDescent="0.25"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</row>
    <row r="660" spans="5:16" s="1" customFormat="1" ht="12.5" x14ac:dyDescent="0.25"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</row>
    <row r="661" spans="5:16" s="1" customFormat="1" ht="12.5" x14ac:dyDescent="0.25"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</row>
    <row r="662" spans="5:16" s="1" customFormat="1" ht="12.5" x14ac:dyDescent="0.25"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</row>
    <row r="663" spans="5:16" s="1" customFormat="1" ht="12.5" x14ac:dyDescent="0.25"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</row>
    <row r="664" spans="5:16" s="1" customFormat="1" ht="12.5" x14ac:dyDescent="0.25"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</row>
    <row r="665" spans="5:16" s="1" customFormat="1" ht="12.5" x14ac:dyDescent="0.25"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</row>
    <row r="666" spans="5:16" s="1" customFormat="1" ht="12.5" x14ac:dyDescent="0.25"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</row>
    <row r="667" spans="5:16" s="1" customFormat="1" ht="12.5" x14ac:dyDescent="0.25"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</row>
    <row r="668" spans="5:16" s="1" customFormat="1" ht="12.5" x14ac:dyDescent="0.25"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</row>
    <row r="669" spans="5:16" s="1" customFormat="1" ht="12.5" x14ac:dyDescent="0.25"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</row>
    <row r="670" spans="5:16" s="1" customFormat="1" ht="12.5" x14ac:dyDescent="0.25"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</row>
    <row r="671" spans="5:16" s="1" customFormat="1" ht="12.5" x14ac:dyDescent="0.25"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</row>
    <row r="672" spans="5:16" s="1" customFormat="1" ht="12.5" x14ac:dyDescent="0.25"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</row>
    <row r="673" spans="5:16" s="1" customFormat="1" ht="12.5" x14ac:dyDescent="0.25"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</row>
    <row r="674" spans="5:16" s="1" customFormat="1" ht="12.5" x14ac:dyDescent="0.25"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</row>
    <row r="675" spans="5:16" s="1" customFormat="1" ht="12.5" x14ac:dyDescent="0.25"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</row>
    <row r="676" spans="5:16" s="1" customFormat="1" ht="12.5" x14ac:dyDescent="0.25"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</row>
    <row r="677" spans="5:16" s="1" customFormat="1" ht="12.5" x14ac:dyDescent="0.25"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</row>
    <row r="678" spans="5:16" s="1" customFormat="1" ht="12.5" x14ac:dyDescent="0.25"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</row>
    <row r="679" spans="5:16" s="1" customFormat="1" ht="12.5" x14ac:dyDescent="0.25"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</row>
    <row r="680" spans="5:16" s="1" customFormat="1" ht="12.5" x14ac:dyDescent="0.25"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</row>
    <row r="681" spans="5:16" s="1" customFormat="1" ht="12.5" x14ac:dyDescent="0.25"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</row>
    <row r="682" spans="5:16" s="1" customFormat="1" ht="12.5" x14ac:dyDescent="0.25"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</row>
    <row r="683" spans="5:16" s="1" customFormat="1" ht="12.5" x14ac:dyDescent="0.25"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</row>
    <row r="684" spans="5:16" s="1" customFormat="1" ht="12.5" x14ac:dyDescent="0.25"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</row>
    <row r="685" spans="5:16" s="1" customFormat="1" ht="12.5" x14ac:dyDescent="0.25"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</row>
    <row r="686" spans="5:16" s="1" customFormat="1" ht="12.5" x14ac:dyDescent="0.25"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</row>
    <row r="687" spans="5:16" s="1" customFormat="1" ht="12.5" x14ac:dyDescent="0.25"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</row>
    <row r="688" spans="5:16" s="1" customFormat="1" ht="12.5" x14ac:dyDescent="0.25"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</row>
    <row r="689" spans="5:16" s="1" customFormat="1" ht="12.5" x14ac:dyDescent="0.25"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</row>
    <row r="690" spans="5:16" s="1" customFormat="1" ht="12.5" x14ac:dyDescent="0.25"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</row>
    <row r="691" spans="5:16" s="1" customFormat="1" ht="12.5" x14ac:dyDescent="0.25"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</row>
    <row r="692" spans="5:16" s="1" customFormat="1" ht="12.5" x14ac:dyDescent="0.25"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</row>
    <row r="693" spans="5:16" s="1" customFormat="1" ht="12.5" x14ac:dyDescent="0.25"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</row>
    <row r="694" spans="5:16" s="1" customFormat="1" ht="12.5" x14ac:dyDescent="0.25"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</row>
    <row r="695" spans="5:16" s="1" customFormat="1" ht="12.5" x14ac:dyDescent="0.25"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</row>
    <row r="696" spans="5:16" s="1" customFormat="1" ht="12.5" x14ac:dyDescent="0.25"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</row>
    <row r="697" spans="5:16" s="1" customFormat="1" ht="12.5" x14ac:dyDescent="0.25"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</row>
    <row r="698" spans="5:16" s="1" customFormat="1" ht="12.5" x14ac:dyDescent="0.25"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</row>
    <row r="699" spans="5:16" s="1" customFormat="1" ht="12.5" x14ac:dyDescent="0.25"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</row>
    <row r="700" spans="5:16" s="1" customFormat="1" ht="12.5" x14ac:dyDescent="0.25"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</row>
    <row r="701" spans="5:16" s="1" customFormat="1" ht="12.5" x14ac:dyDescent="0.25"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</row>
    <row r="702" spans="5:16" s="1" customFormat="1" ht="12.5" x14ac:dyDescent="0.25"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</row>
    <row r="703" spans="5:16" s="1" customFormat="1" ht="12.5" x14ac:dyDescent="0.25"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</row>
    <row r="704" spans="5:16" s="1" customFormat="1" ht="12.5" x14ac:dyDescent="0.25"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</row>
    <row r="705" spans="5:16" s="1" customFormat="1" ht="12.5" x14ac:dyDescent="0.25"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</row>
    <row r="706" spans="5:16" s="1" customFormat="1" ht="12.5" x14ac:dyDescent="0.25"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</row>
    <row r="707" spans="5:16" s="1" customFormat="1" ht="12.5" x14ac:dyDescent="0.25"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</row>
    <row r="708" spans="5:16" s="1" customFormat="1" ht="12.5" x14ac:dyDescent="0.25"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</row>
    <row r="709" spans="5:16" s="1" customFormat="1" ht="12.5" x14ac:dyDescent="0.25"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</row>
    <row r="710" spans="5:16" s="1" customFormat="1" ht="12.5" x14ac:dyDescent="0.25"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</row>
    <row r="711" spans="5:16" s="1" customFormat="1" ht="12.5" x14ac:dyDescent="0.25"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</row>
    <row r="712" spans="5:16" s="1" customFormat="1" ht="12.5" x14ac:dyDescent="0.25"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</row>
    <row r="713" spans="5:16" s="1" customFormat="1" ht="12.5" x14ac:dyDescent="0.25"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</row>
    <row r="714" spans="5:16" s="1" customFormat="1" ht="12.5" x14ac:dyDescent="0.25"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</row>
    <row r="715" spans="5:16" s="1" customFormat="1" ht="12.5" x14ac:dyDescent="0.25"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</row>
    <row r="716" spans="5:16" s="1" customFormat="1" ht="12.5" x14ac:dyDescent="0.25"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</row>
    <row r="717" spans="5:16" s="1" customFormat="1" ht="12.5" x14ac:dyDescent="0.25"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</row>
    <row r="718" spans="5:16" s="1" customFormat="1" ht="12.5" x14ac:dyDescent="0.25"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</row>
    <row r="719" spans="5:16" s="1" customFormat="1" ht="12.5" x14ac:dyDescent="0.25"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</row>
    <row r="720" spans="5:16" s="1" customFormat="1" ht="12.5" x14ac:dyDescent="0.25"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</row>
    <row r="721" spans="5:16" s="1" customFormat="1" ht="12.5" x14ac:dyDescent="0.25"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</row>
    <row r="722" spans="5:16" s="1" customFormat="1" ht="12.5" x14ac:dyDescent="0.25"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</row>
    <row r="723" spans="5:16" s="1" customFormat="1" ht="12.5" x14ac:dyDescent="0.25"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</row>
    <row r="724" spans="5:16" s="1" customFormat="1" ht="12.5" x14ac:dyDescent="0.25"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</row>
    <row r="725" spans="5:16" s="1" customFormat="1" ht="12.5" x14ac:dyDescent="0.25"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</row>
    <row r="726" spans="5:16" s="1" customFormat="1" ht="12.5" x14ac:dyDescent="0.25"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</row>
    <row r="727" spans="5:16" s="1" customFormat="1" ht="12.5" x14ac:dyDescent="0.25"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</row>
    <row r="728" spans="5:16" s="1" customFormat="1" ht="12.5" x14ac:dyDescent="0.25"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</row>
    <row r="729" spans="5:16" s="1" customFormat="1" ht="12.5" x14ac:dyDescent="0.25"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</row>
    <row r="730" spans="5:16" s="1" customFormat="1" ht="12.5" x14ac:dyDescent="0.25"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</row>
    <row r="731" spans="5:16" s="1" customFormat="1" ht="12.5" x14ac:dyDescent="0.25"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</row>
    <row r="732" spans="5:16" s="1" customFormat="1" ht="12.5" x14ac:dyDescent="0.25"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</row>
    <row r="733" spans="5:16" s="1" customFormat="1" ht="12.5" x14ac:dyDescent="0.25"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</row>
    <row r="734" spans="5:16" s="1" customFormat="1" ht="12.5" x14ac:dyDescent="0.25"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</row>
    <row r="735" spans="5:16" s="1" customFormat="1" ht="12.5" x14ac:dyDescent="0.25"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</row>
    <row r="736" spans="5:16" s="1" customFormat="1" ht="12.5" x14ac:dyDescent="0.25"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</row>
    <row r="737" spans="5:16" s="1" customFormat="1" ht="12.5" x14ac:dyDescent="0.25"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</row>
    <row r="738" spans="5:16" s="1" customFormat="1" ht="12.5" x14ac:dyDescent="0.25"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</row>
    <row r="739" spans="5:16" s="1" customFormat="1" ht="12.5" x14ac:dyDescent="0.25"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</row>
    <row r="740" spans="5:16" s="1" customFormat="1" ht="12.5" x14ac:dyDescent="0.25"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</row>
    <row r="741" spans="5:16" s="1" customFormat="1" ht="12.5" x14ac:dyDescent="0.25"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</row>
    <row r="742" spans="5:16" s="1" customFormat="1" ht="12.5" x14ac:dyDescent="0.25"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</row>
    <row r="743" spans="5:16" s="1" customFormat="1" ht="12.5" x14ac:dyDescent="0.25"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</row>
    <row r="744" spans="5:16" s="1" customFormat="1" ht="12.5" x14ac:dyDescent="0.25"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</row>
    <row r="745" spans="5:16" s="1" customFormat="1" ht="12.5" x14ac:dyDescent="0.25"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</row>
    <row r="746" spans="5:16" s="1" customFormat="1" ht="12.5" x14ac:dyDescent="0.25"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</row>
    <row r="747" spans="5:16" s="1" customFormat="1" ht="12.5" x14ac:dyDescent="0.25"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</row>
    <row r="748" spans="5:16" s="1" customFormat="1" ht="12.5" x14ac:dyDescent="0.25"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</row>
    <row r="749" spans="5:16" s="1" customFormat="1" ht="12.5" x14ac:dyDescent="0.25"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</row>
    <row r="750" spans="5:16" s="1" customFormat="1" ht="12.5" x14ac:dyDescent="0.25"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</row>
    <row r="751" spans="5:16" s="1" customFormat="1" ht="12.5" x14ac:dyDescent="0.25"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</row>
    <row r="752" spans="5:16" s="1" customFormat="1" ht="12.5" x14ac:dyDescent="0.25"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</row>
    <row r="753" spans="5:16" s="1" customFormat="1" ht="12.5" x14ac:dyDescent="0.25"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</row>
    <row r="754" spans="5:16" s="1" customFormat="1" ht="12.5" x14ac:dyDescent="0.25"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</row>
    <row r="755" spans="5:16" s="1" customFormat="1" ht="12.5" x14ac:dyDescent="0.25"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</row>
    <row r="756" spans="5:16" s="1" customFormat="1" ht="12.5" x14ac:dyDescent="0.25"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</row>
    <row r="757" spans="5:16" s="1" customFormat="1" ht="12.5" x14ac:dyDescent="0.25"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</row>
    <row r="758" spans="5:16" s="1" customFormat="1" ht="12.5" x14ac:dyDescent="0.25"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</row>
    <row r="759" spans="5:16" s="1" customFormat="1" ht="12.5" x14ac:dyDescent="0.25"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</row>
    <row r="760" spans="5:16" s="1" customFormat="1" ht="12.5" x14ac:dyDescent="0.25"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</row>
    <row r="761" spans="5:16" s="1" customFormat="1" ht="12.5" x14ac:dyDescent="0.25"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</row>
    <row r="762" spans="5:16" s="1" customFormat="1" ht="12.5" x14ac:dyDescent="0.25"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</row>
    <row r="763" spans="5:16" s="1" customFormat="1" ht="12.5" x14ac:dyDescent="0.25"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</row>
    <row r="764" spans="5:16" s="1" customFormat="1" ht="12.5" x14ac:dyDescent="0.25"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</row>
    <row r="765" spans="5:16" s="1" customFormat="1" ht="12.5" x14ac:dyDescent="0.25"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</row>
    <row r="766" spans="5:16" s="1" customFormat="1" ht="12.5" x14ac:dyDescent="0.25"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</row>
    <row r="767" spans="5:16" s="1" customFormat="1" ht="12.5" x14ac:dyDescent="0.25"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</row>
    <row r="768" spans="5:16" s="1" customFormat="1" ht="12.5" x14ac:dyDescent="0.25"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</row>
    <row r="769" spans="5:16" s="1" customFormat="1" ht="12.5" x14ac:dyDescent="0.25"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</row>
    <row r="770" spans="5:16" s="1" customFormat="1" ht="12.5" x14ac:dyDescent="0.25"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</row>
    <row r="771" spans="5:16" s="1" customFormat="1" ht="12.5" x14ac:dyDescent="0.25"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</row>
    <row r="772" spans="5:16" s="1" customFormat="1" ht="12.5" x14ac:dyDescent="0.25"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</row>
    <row r="773" spans="5:16" s="1" customFormat="1" ht="12.5" x14ac:dyDescent="0.25"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</row>
    <row r="774" spans="5:16" s="1" customFormat="1" ht="12.5" x14ac:dyDescent="0.25"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</row>
    <row r="775" spans="5:16" s="1" customFormat="1" ht="12.5" x14ac:dyDescent="0.25"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</row>
    <row r="776" spans="5:16" s="1" customFormat="1" ht="12.5" x14ac:dyDescent="0.25"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</row>
    <row r="777" spans="5:16" s="1" customFormat="1" ht="12.5" x14ac:dyDescent="0.25"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</row>
    <row r="778" spans="5:16" s="1" customFormat="1" ht="12.5" x14ac:dyDescent="0.25"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</row>
    <row r="779" spans="5:16" s="1" customFormat="1" ht="12.5" x14ac:dyDescent="0.25"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</row>
    <row r="780" spans="5:16" s="1" customFormat="1" ht="12.5" x14ac:dyDescent="0.25"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</row>
    <row r="781" spans="5:16" s="1" customFormat="1" ht="12.5" x14ac:dyDescent="0.25"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</row>
    <row r="782" spans="5:16" s="1" customFormat="1" ht="12.5" x14ac:dyDescent="0.25"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</row>
    <row r="783" spans="5:16" s="1" customFormat="1" ht="12.5" x14ac:dyDescent="0.25"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</row>
    <row r="784" spans="5:16" s="1" customFormat="1" ht="12.5" x14ac:dyDescent="0.25"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</row>
    <row r="785" spans="5:16" s="1" customFormat="1" ht="12.5" x14ac:dyDescent="0.25"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</row>
    <row r="786" spans="5:16" s="1" customFormat="1" ht="12.5" x14ac:dyDescent="0.25"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</row>
    <row r="787" spans="5:16" s="1" customFormat="1" ht="12.5" x14ac:dyDescent="0.25"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</row>
    <row r="788" spans="5:16" s="1" customFormat="1" ht="12.5" x14ac:dyDescent="0.25"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</row>
    <row r="789" spans="5:16" s="1" customFormat="1" ht="12.5" x14ac:dyDescent="0.25"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</row>
    <row r="790" spans="5:16" s="1" customFormat="1" ht="12.5" x14ac:dyDescent="0.25"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</row>
    <row r="791" spans="5:16" s="1" customFormat="1" ht="12.5" x14ac:dyDescent="0.25"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</row>
    <row r="792" spans="5:16" s="1" customFormat="1" ht="12.5" x14ac:dyDescent="0.25"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</row>
    <row r="793" spans="5:16" s="1" customFormat="1" ht="12.5" x14ac:dyDescent="0.25"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</row>
    <row r="794" spans="5:16" s="1" customFormat="1" ht="12.5" x14ac:dyDescent="0.25"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</row>
    <row r="795" spans="5:16" s="1" customFormat="1" ht="12.5" x14ac:dyDescent="0.25"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</row>
    <row r="796" spans="5:16" s="1" customFormat="1" ht="12.5" x14ac:dyDescent="0.25"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</row>
    <row r="797" spans="5:16" s="1" customFormat="1" ht="12.5" x14ac:dyDescent="0.25"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</row>
    <row r="798" spans="5:16" s="1" customFormat="1" ht="12.5" x14ac:dyDescent="0.25"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</row>
    <row r="799" spans="5:16" s="1" customFormat="1" ht="12.5" x14ac:dyDescent="0.25"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</row>
    <row r="800" spans="5:16" s="1" customFormat="1" ht="12.5" x14ac:dyDescent="0.25"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</row>
    <row r="801" spans="5:16" s="1" customFormat="1" ht="12.5" x14ac:dyDescent="0.25"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</row>
    <row r="802" spans="5:16" s="1" customFormat="1" ht="12.5" x14ac:dyDescent="0.25"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</row>
    <row r="803" spans="5:16" s="1" customFormat="1" ht="12.5" x14ac:dyDescent="0.25"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</row>
    <row r="804" spans="5:16" s="1" customFormat="1" ht="12.5" x14ac:dyDescent="0.25"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</row>
    <row r="805" spans="5:16" s="1" customFormat="1" ht="12.5" x14ac:dyDescent="0.25"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</row>
    <row r="806" spans="5:16" s="1" customFormat="1" ht="12.5" x14ac:dyDescent="0.25"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</row>
    <row r="807" spans="5:16" s="1" customFormat="1" ht="12.5" x14ac:dyDescent="0.25"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</row>
    <row r="808" spans="5:16" s="1" customFormat="1" ht="12.5" x14ac:dyDescent="0.25"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</row>
    <row r="809" spans="5:16" s="1" customFormat="1" ht="12.5" x14ac:dyDescent="0.25"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</row>
    <row r="810" spans="5:16" s="1" customFormat="1" ht="12.5" x14ac:dyDescent="0.25"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</row>
    <row r="811" spans="5:16" s="1" customFormat="1" ht="12.5" x14ac:dyDescent="0.25"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</row>
    <row r="812" spans="5:16" s="1" customFormat="1" ht="12.5" x14ac:dyDescent="0.25"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</row>
    <row r="813" spans="5:16" s="1" customFormat="1" ht="12.5" x14ac:dyDescent="0.25"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</row>
    <row r="814" spans="5:16" s="1" customFormat="1" ht="12.5" x14ac:dyDescent="0.25"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</row>
    <row r="815" spans="5:16" s="1" customFormat="1" ht="12.5" x14ac:dyDescent="0.25"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</row>
    <row r="816" spans="5:16" s="1" customFormat="1" ht="12.5" x14ac:dyDescent="0.25"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</row>
    <row r="817" spans="5:16" s="1" customFormat="1" ht="12.5" x14ac:dyDescent="0.25"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</row>
    <row r="818" spans="5:16" s="1" customFormat="1" ht="12.5" x14ac:dyDescent="0.25"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</row>
    <row r="819" spans="5:16" s="1" customFormat="1" ht="12.5" x14ac:dyDescent="0.25"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</row>
    <row r="820" spans="5:16" s="1" customFormat="1" ht="12.5" x14ac:dyDescent="0.25"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</row>
    <row r="821" spans="5:16" s="1" customFormat="1" ht="12.5" x14ac:dyDescent="0.25"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</row>
    <row r="822" spans="5:16" s="1" customFormat="1" ht="12.5" x14ac:dyDescent="0.25"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</row>
    <row r="823" spans="5:16" s="1" customFormat="1" ht="12.5" x14ac:dyDescent="0.25"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</row>
    <row r="824" spans="5:16" s="1" customFormat="1" ht="12.5" x14ac:dyDescent="0.25"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</row>
    <row r="825" spans="5:16" s="1" customFormat="1" ht="12.5" x14ac:dyDescent="0.25"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</row>
    <row r="826" spans="5:16" s="1" customFormat="1" ht="12.5" x14ac:dyDescent="0.25"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</row>
    <row r="827" spans="5:16" s="1" customFormat="1" ht="12.5" x14ac:dyDescent="0.25"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</row>
    <row r="828" spans="5:16" s="1" customFormat="1" ht="12.5" x14ac:dyDescent="0.25"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</row>
    <row r="829" spans="5:16" s="1" customFormat="1" ht="12.5" x14ac:dyDescent="0.25"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</row>
    <row r="830" spans="5:16" s="1" customFormat="1" ht="12.5" x14ac:dyDescent="0.25"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</row>
    <row r="831" spans="5:16" s="1" customFormat="1" ht="12.5" x14ac:dyDescent="0.25"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</row>
    <row r="832" spans="5:16" s="1" customFormat="1" ht="12.5" x14ac:dyDescent="0.25"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</row>
    <row r="833" spans="5:16" s="1" customFormat="1" ht="12.5" x14ac:dyDescent="0.25"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</row>
    <row r="834" spans="5:16" s="1" customFormat="1" ht="12.5" x14ac:dyDescent="0.25"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</row>
    <row r="835" spans="5:16" s="1" customFormat="1" ht="12.5" x14ac:dyDescent="0.25"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</row>
    <row r="836" spans="5:16" s="1" customFormat="1" ht="12.5" x14ac:dyDescent="0.25"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</row>
    <row r="837" spans="5:16" s="1" customFormat="1" ht="12.5" x14ac:dyDescent="0.25"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</row>
    <row r="838" spans="5:16" s="1" customFormat="1" ht="12.5" x14ac:dyDescent="0.25"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</row>
    <row r="839" spans="5:16" s="1" customFormat="1" ht="12.5" x14ac:dyDescent="0.25"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</row>
    <row r="840" spans="5:16" s="1" customFormat="1" ht="12.5" x14ac:dyDescent="0.25"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</row>
    <row r="841" spans="5:16" s="1" customFormat="1" ht="12.5" x14ac:dyDescent="0.25"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</row>
    <row r="842" spans="5:16" s="1" customFormat="1" ht="12.5" x14ac:dyDescent="0.25"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</row>
    <row r="843" spans="5:16" s="1" customFormat="1" ht="12.5" x14ac:dyDescent="0.25"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</row>
    <row r="844" spans="5:16" s="1" customFormat="1" ht="12.5" x14ac:dyDescent="0.25"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</row>
    <row r="845" spans="5:16" s="1" customFormat="1" ht="12.5" x14ac:dyDescent="0.25"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</row>
    <row r="846" spans="5:16" s="1" customFormat="1" ht="12.5" x14ac:dyDescent="0.25"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</row>
    <row r="847" spans="5:16" s="1" customFormat="1" ht="12.5" x14ac:dyDescent="0.25"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</row>
    <row r="848" spans="5:16" s="1" customFormat="1" ht="12.5" x14ac:dyDescent="0.25"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</row>
    <row r="849" spans="5:16" s="1" customFormat="1" ht="12.5" x14ac:dyDescent="0.25"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</row>
    <row r="850" spans="5:16" s="1" customFormat="1" ht="12.5" x14ac:dyDescent="0.25"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</row>
    <row r="851" spans="5:16" s="1" customFormat="1" ht="12.5" x14ac:dyDescent="0.25"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</row>
    <row r="852" spans="5:16" s="1" customFormat="1" ht="12.5" x14ac:dyDescent="0.25"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</row>
    <row r="853" spans="5:16" s="1" customFormat="1" ht="12.5" x14ac:dyDescent="0.25"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</row>
    <row r="854" spans="5:16" s="1" customFormat="1" ht="12.5" x14ac:dyDescent="0.25"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</row>
  </sheetData>
  <autoFilter ref="T5:T64" xr:uid="{00000000-0009-0000-0000-000003000000}">
    <filterColumn colId="0">
      <filters>
        <filter val="Yes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Scenario Summary</vt:lpstr>
      <vt:lpstr>Exercise 7.1</vt:lpstr>
      <vt:lpstr>Exercise 7.2</vt:lpstr>
      <vt:lpstr>Exercise 7.3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2012-10-28T20:47:59Z</dcterms:created>
  <dcterms:modified xsi:type="dcterms:W3CDTF">2019-01-20T12:21:12Z</dcterms:modified>
</cp:coreProperties>
</file>